
<file path=[Content_Types].xml><?xml version="1.0" encoding="utf-8"?>
<Types xmlns="http://schemas.openxmlformats.org/package/2006/content-types">
  <Override PartName="/xl/tables/table4.xml" ContentType="application/vnd.openxmlformats-officedocument.spreadsheetml.table+xml"/>
  <Override PartName="/xl/charts/chart6.xml" ContentType="application/vnd.openxmlformats-officedocument.drawingml.chart+xml"/>
  <Default Extension="svg" ContentType="image/svg+xml"/>
  <Override PartName="/xl/worksheets/sheet9.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tables/table2.xml" ContentType="application/vnd.openxmlformats-officedocument.spreadsheetml.table+xml"/>
  <Override PartName="/xl/charts/chart4.xml" ContentType="application/vnd.openxmlformats-officedocument.drawingml.chart+xml"/>
  <Override PartName="/xl/pivotTables/pivotTable4.xml" ContentType="application/vnd.openxmlformats-officedocument.spreadsheetml.pivot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Tables/pivotTable1.xml" ContentType="application/vnd.openxmlformats-officedocument.spreadsheetml.pivotTable+xml"/>
  <Default Extension="emf" ContentType="image/x-emf"/>
  <Override PartName="/xl/pivotTables/pivotTable2.xml" ContentType="application/vnd.openxmlformats-officedocument.spreadsheetml.pivotTable+xml"/>
  <Override PartName="/xl/charts/chart2.xml" ContentType="application/vnd.openxmlformats-officedocument.drawingml.chart+xml"/>
  <Override PartName="/xl/charts/chart3.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pivotCache/pivotCacheDefinition2.xml" ContentType="application/vnd.openxmlformats-officedocument.spreadsheetml.pivotCacheDefinition+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Default Extension="vml" ContentType="application/vnd.openxmlformats-officedocument.vmlDrawing"/>
  <Override PartName="/xl/tables/table9.xml" ContentType="application/vnd.openxmlformats-officedocument.spreadsheetml.table+xml"/>
  <Override PartName="/xl/calcChain.xml" ContentType="application/vnd.openxmlformats-officedocument.spreadsheetml.calcChain+xml"/>
  <Override PartName="/xl/sharedStrings.xml" ContentType="application/vnd.openxmlformats-officedocument.spreadsheetml.sharedStrings+xml"/>
  <Override PartName="/xl/tables/table7.xml" ContentType="application/vnd.openxmlformats-officedocument.spreadsheetml.table+xml"/>
  <Override PartName="/xl/tables/table8.xml" ContentType="application/vnd.openxmlformats-officedocument.spreadsheetml.table+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tables/table5.xml" ContentType="application/vnd.openxmlformats-officedocument.spreadsheetml.table+xml"/>
  <Override PartName="/xl/tables/table6.xml" ContentType="application/vnd.openxmlformats-officedocument.spreadsheetml.table+xml"/>
  <Override PartName="/xl/charts/chart8.xml" ContentType="application/vnd.openxmlformats-officedocument.drawingml.chart+xml"/>
  <Override PartName="/xl/charts/chart9.xml" ContentType="application/vnd.openxmlformats-officedocument.drawingml.chart+xml"/>
  <Override PartName="/docProps/core.xml" ContentType="application/vnd.openxmlformats-package.core-properties+xml"/>
  <Default Extension="bin" ContentType="application/vnd.openxmlformats-officedocument.spreadsheetml.printerSettings"/>
  <Default Extension="png" ContentType="image/png"/>
  <Override PartName="/xl/tables/table3.xml" ContentType="application/vnd.openxmlformats-officedocument.spreadsheetml.table+xml"/>
  <Override PartName="/xl/charts/chart7.xml" ContentType="application/vnd.openxmlformats-officedocument.drawingml.chart+xml"/>
  <Override PartName="/xl/tables/table1.xml" ContentType="application/vnd.openxmlformats-officedocument.spreadsheetml.table+xml"/>
  <Override PartName="/xl/charts/chart5.xml" ContentType="application/vnd.openxmlformats-officedocument.drawingml.chart+xml"/>
  <Override PartName="/xl/pivotTables/pivotTable3.xml" ContentType="application/vnd.openxmlformats-officedocument.spreadsheetml.pivot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hidePivotFieldList="1"/>
  <bookViews>
    <workbookView xWindow="0" yWindow="-120" windowWidth="20610" windowHeight="11160" tabRatio="903" firstSheet="1" activeTab="4"/>
  </bookViews>
  <sheets>
    <sheet name="Feuil2" sheetId="3" state="hidden" r:id="rId1"/>
    <sheet name="Menu" sheetId="19" r:id="rId2"/>
    <sheet name="Code Véhicule" sheetId="5" r:id="rId3"/>
    <sheet name="Feuil3" sheetId="25" r:id="rId4"/>
    <sheet name="BDD interv" sheetId="7" r:id="rId5"/>
    <sheet name="KPI PARC AUTO" sheetId="17" r:id="rId6"/>
    <sheet name="En cours" sheetId="9" r:id="rId7"/>
    <sheet name="Hist engins" sheetId="10" r:id="rId8"/>
    <sheet name="bdd pneu" sheetId="20" r:id="rId9"/>
    <sheet name="Suivi des pneus" sheetId="22" r:id="rId10"/>
    <sheet name="Suivi des vidanges" sheetId="23" r:id="rId11"/>
    <sheet name="TYP INTERV" sheetId="8" state="hidden" r:id="rId12"/>
    <sheet name="Feuil1" sheetId="24" r:id="rId13"/>
  </sheets>
  <externalReferences>
    <externalReference r:id="rId14"/>
    <externalReference r:id="rId15"/>
  </externalReferences>
  <definedNames>
    <definedName name="_xlnm._FilterDatabase" localSheetId="4" hidden="1">'BDD interv'!$A$1:$R$2</definedName>
    <definedName name="Segment_An">#N/A</definedName>
    <definedName name="Segment_An1">#N/A</definedName>
    <definedName name="Segment_An2">#N/A</definedName>
    <definedName name="Segment_Mois">#N/A</definedName>
    <definedName name="Segment_Mois1">#N/A</definedName>
    <definedName name="Segment_Mois2">#N/A</definedName>
    <definedName name="Segment_Mois3">#N/A</definedName>
    <definedName name="_xlnm.Print_Area" localSheetId="9">'Suivi des pneus'!$A$2:$S$70</definedName>
  </definedNames>
  <calcPr calcId="125725"/>
  <pivotCaches>
    <pivotCache cacheId="4" r:id="rId16"/>
    <pivotCache cacheId="5" r:id="rId17"/>
  </pivotCaches>
  <extLst xmlns:x14="http://schemas.microsoft.com/office/spreadsheetml/2009/9/main">
    <ext uri="{BBE1A952-AA13-448e-AADC-164F8A28A991}">
      <x14:slicerCaches>
        <x14:slicerCache r:id=""/>
        <x14:slicerCache r:id=""/>
      </x14:slicerCaches>
    </ext>
    <ext uri="{79F54976-1DA5-4618-B147-4CDE4B953A38}">
      <x14:workbookPr/>
    </ext>
  </extLst>
</workbook>
</file>

<file path=xl/calcChain.xml><?xml version="1.0" encoding="utf-8"?>
<calcChain xmlns="http://schemas.openxmlformats.org/spreadsheetml/2006/main">
  <c r="C1461" i="7"/>
  <c r="C1456"/>
  <c r="D1456"/>
  <c r="E1456"/>
  <c r="Q1456"/>
  <c r="R1456"/>
  <c r="C1444"/>
  <c r="C1445"/>
  <c r="C1446"/>
  <c r="C1447"/>
  <c r="C1448"/>
  <c r="C1449"/>
  <c r="C1450"/>
  <c r="C1451"/>
  <c r="C1452"/>
  <c r="C1453"/>
  <c r="C1454"/>
  <c r="C1455"/>
  <c r="C1457"/>
  <c r="C1458"/>
  <c r="C1459"/>
  <c r="C1460"/>
  <c r="C1462"/>
  <c r="C1463"/>
  <c r="C1464"/>
  <c r="C1465"/>
  <c r="C1466"/>
  <c r="C1467"/>
  <c r="C1468"/>
  <c r="C1469"/>
  <c r="C1470"/>
  <c r="C1471"/>
  <c r="D1444"/>
  <c r="D1445"/>
  <c r="D1446"/>
  <c r="D1447"/>
  <c r="D1448"/>
  <c r="D1449"/>
  <c r="D1450"/>
  <c r="D1451"/>
  <c r="D1452"/>
  <c r="D1453"/>
  <c r="D1454"/>
  <c r="D1455"/>
  <c r="D1457"/>
  <c r="D1458"/>
  <c r="D1459"/>
  <c r="D1460"/>
  <c r="D1461"/>
  <c r="D1462"/>
  <c r="D1463"/>
  <c r="D1464"/>
  <c r="D1465"/>
  <c r="D1466"/>
  <c r="D1467"/>
  <c r="D1468"/>
  <c r="D1469"/>
  <c r="D1470"/>
  <c r="D1471"/>
  <c r="E1444"/>
  <c r="E1445"/>
  <c r="E1446"/>
  <c r="E1447"/>
  <c r="E1448"/>
  <c r="E1449"/>
  <c r="E1450"/>
  <c r="E1451"/>
  <c r="E1452"/>
  <c r="E1453"/>
  <c r="E1454"/>
  <c r="E1455"/>
  <c r="E1457"/>
  <c r="E1458"/>
  <c r="E1459"/>
  <c r="E1460"/>
  <c r="E1461"/>
  <c r="E1462"/>
  <c r="E1463"/>
  <c r="E1464"/>
  <c r="E1465"/>
  <c r="E1466"/>
  <c r="E1467"/>
  <c r="E1468"/>
  <c r="E1469"/>
  <c r="E1470"/>
  <c r="E1471"/>
  <c r="Q1444"/>
  <c r="Q1445"/>
  <c r="Q1446"/>
  <c r="Q1447"/>
  <c r="Q1448"/>
  <c r="Q1449"/>
  <c r="Q1450"/>
  <c r="Q1451"/>
  <c r="Q1452"/>
  <c r="Q1453"/>
  <c r="Q1454"/>
  <c r="Q1455"/>
  <c r="Q1457"/>
  <c r="Q1458"/>
  <c r="Q1459"/>
  <c r="Q1460"/>
  <c r="Q1461"/>
  <c r="Q1462"/>
  <c r="Q1463"/>
  <c r="Q1464"/>
  <c r="Q1465"/>
  <c r="Q1466"/>
  <c r="Q1467"/>
  <c r="Q1468"/>
  <c r="Q1469"/>
  <c r="Q1470"/>
  <c r="Q1471"/>
  <c r="R1444"/>
  <c r="R1445"/>
  <c r="R1446"/>
  <c r="R1447"/>
  <c r="R1448"/>
  <c r="R1449"/>
  <c r="R1450"/>
  <c r="R1451"/>
  <c r="R1452"/>
  <c r="R1453"/>
  <c r="R1454"/>
  <c r="R1455"/>
  <c r="R1457"/>
  <c r="R1458"/>
  <c r="R1459"/>
  <c r="R1460"/>
  <c r="R1461"/>
  <c r="R1462"/>
  <c r="R1463"/>
  <c r="R1464"/>
  <c r="R1465"/>
  <c r="R1466"/>
  <c r="R1467"/>
  <c r="R1468"/>
  <c r="R1469"/>
  <c r="R1470"/>
  <c r="R1471"/>
  <c r="C1472"/>
  <c r="D1472"/>
  <c r="E1472"/>
  <c r="Q1472"/>
  <c r="R1472"/>
  <c r="C1443"/>
  <c r="D1443"/>
  <c r="E1443"/>
  <c r="Q1443"/>
  <c r="R1443"/>
  <c r="C1442"/>
  <c r="D1442"/>
  <c r="E1442"/>
  <c r="Q1442"/>
  <c r="R1442"/>
  <c r="C1441"/>
  <c r="C1440"/>
  <c r="D1441"/>
  <c r="E1441"/>
  <c r="Q1441"/>
  <c r="R1441"/>
  <c r="D1440"/>
  <c r="E1440"/>
  <c r="Q1440"/>
  <c r="R1440"/>
  <c r="C1439"/>
  <c r="D1439"/>
  <c r="E1439"/>
  <c r="Q1439"/>
  <c r="R1439"/>
  <c r="C1438"/>
  <c r="D1438"/>
  <c r="E1438"/>
  <c r="Q1438"/>
  <c r="R1438"/>
  <c r="C1437"/>
  <c r="D1437"/>
  <c r="E1437"/>
  <c r="Q1437"/>
  <c r="R1437"/>
  <c r="C1436"/>
  <c r="D1436"/>
  <c r="E1436"/>
  <c r="Q1436"/>
  <c r="R1436"/>
  <c r="C1435"/>
  <c r="D1435"/>
  <c r="E1435"/>
  <c r="Q1435"/>
  <c r="R1435"/>
  <c r="C1434"/>
  <c r="D1434"/>
  <c r="E1434"/>
  <c r="Q1434"/>
  <c r="R1434"/>
  <c r="C1433"/>
  <c r="D1433"/>
  <c r="E1433"/>
  <c r="Q1433"/>
  <c r="R1433"/>
  <c r="C1432"/>
  <c r="D1432"/>
  <c r="E1432"/>
  <c r="Q1432"/>
  <c r="R1432"/>
  <c r="C1431"/>
  <c r="D1431"/>
  <c r="E1431"/>
  <c r="Q1431"/>
  <c r="R1431"/>
  <c r="C1430"/>
  <c r="D1430"/>
  <c r="E1430"/>
  <c r="Q1430"/>
  <c r="R1430"/>
  <c r="C1429"/>
  <c r="D1429"/>
  <c r="E1429"/>
  <c r="Q1429"/>
  <c r="R1429"/>
  <c r="C1428"/>
  <c r="D1428"/>
  <c r="E1428"/>
  <c r="Q1428"/>
  <c r="R1428"/>
  <c r="C1427"/>
  <c r="D1427"/>
  <c r="E1427"/>
  <c r="Q1427"/>
  <c r="R1427"/>
  <c r="C1426"/>
  <c r="D1426"/>
  <c r="E1426"/>
  <c r="Q1426"/>
  <c r="R1426"/>
  <c r="C1425"/>
  <c r="D1425"/>
  <c r="E1425"/>
  <c r="Q1425"/>
  <c r="R1425"/>
  <c r="C1424"/>
  <c r="D1424"/>
  <c r="E1424"/>
  <c r="Q1424"/>
  <c r="R1424"/>
  <c r="C1423"/>
  <c r="D1423"/>
  <c r="E1423"/>
  <c r="Q1423"/>
  <c r="R1423"/>
  <c r="C1422"/>
  <c r="D1422"/>
  <c r="E1422"/>
  <c r="Q1422"/>
  <c r="R1422"/>
  <c r="C1421"/>
  <c r="D1421"/>
  <c r="E1421"/>
  <c r="Q1421"/>
  <c r="R1421"/>
  <c r="C1420"/>
  <c r="D1420"/>
  <c r="E1420"/>
  <c r="Q1420"/>
  <c r="R1420"/>
  <c r="C1419"/>
  <c r="D1419"/>
  <c r="E1419"/>
  <c r="Q1419"/>
  <c r="R1419"/>
  <c r="C1418"/>
  <c r="D1418"/>
  <c r="E1418"/>
  <c r="Q1418"/>
  <c r="R1418"/>
  <c r="C1417"/>
  <c r="D1417"/>
  <c r="E1417"/>
  <c r="Q1417"/>
  <c r="R1417"/>
  <c r="C1416" l="1"/>
  <c r="D1416"/>
  <c r="E1416"/>
  <c r="Q1416"/>
  <c r="R1416"/>
  <c r="C1415"/>
  <c r="D1415"/>
  <c r="E1415"/>
  <c r="Q1415"/>
  <c r="R1415"/>
  <c r="C1414"/>
  <c r="D1414"/>
  <c r="E1414"/>
  <c r="Q1414"/>
  <c r="R1414"/>
  <c r="C1413"/>
  <c r="D1413"/>
  <c r="E1413"/>
  <c r="Q1413"/>
  <c r="R1413"/>
  <c r="C1412"/>
  <c r="D1412"/>
  <c r="E1412"/>
  <c r="Q1412"/>
  <c r="R1412"/>
  <c r="R1285"/>
  <c r="Q1285"/>
  <c r="E1285"/>
  <c r="D1285"/>
  <c r="C1285"/>
  <c r="R1231"/>
  <c r="Q1231"/>
  <c r="E1231"/>
  <c r="D1231"/>
  <c r="C1231"/>
  <c r="R1224"/>
  <c r="Q1224"/>
  <c r="E1224"/>
  <c r="D1224"/>
  <c r="C1224"/>
  <c r="R1226"/>
  <c r="Q1226"/>
  <c r="E1226"/>
  <c r="D1226"/>
  <c r="C1226"/>
  <c r="C1411" l="1"/>
  <c r="D1411"/>
  <c r="E1411"/>
  <c r="Q1411"/>
  <c r="R1411"/>
  <c r="C1410"/>
  <c r="D1410"/>
  <c r="E1410"/>
  <c r="Q1410"/>
  <c r="R1410"/>
  <c r="C1409"/>
  <c r="D1409"/>
  <c r="E1409"/>
  <c r="Q1409"/>
  <c r="R1409"/>
  <c r="C1405"/>
  <c r="D1405"/>
  <c r="E1405"/>
  <c r="Q1405"/>
  <c r="R1405"/>
  <c r="C1406"/>
  <c r="D1406"/>
  <c r="E1406"/>
  <c r="Q1406"/>
  <c r="R1406"/>
  <c r="C1403"/>
  <c r="D1403"/>
  <c r="E1403"/>
  <c r="Q1403"/>
  <c r="R1403"/>
  <c r="C1402"/>
  <c r="D1402"/>
  <c r="E1402"/>
  <c r="Q1402"/>
  <c r="R1402"/>
  <c r="C1401"/>
  <c r="D1401"/>
  <c r="E1401"/>
  <c r="Q1401"/>
  <c r="R1401"/>
  <c r="C1408"/>
  <c r="D1408"/>
  <c r="E1408"/>
  <c r="Q1408"/>
  <c r="R1408"/>
  <c r="C1407"/>
  <c r="D1407"/>
  <c r="E1407"/>
  <c r="Q1407"/>
  <c r="R1407"/>
  <c r="C1404"/>
  <c r="D1404"/>
  <c r="E1404"/>
  <c r="Q1404"/>
  <c r="R1404"/>
  <c r="C1400"/>
  <c r="D1400"/>
  <c r="E1400"/>
  <c r="Q1400"/>
  <c r="R1400"/>
  <c r="C1399"/>
  <c r="D1399"/>
  <c r="E1399"/>
  <c r="Q1399"/>
  <c r="R1399"/>
  <c r="C1398"/>
  <c r="D1398"/>
  <c r="E1398"/>
  <c r="Q1398"/>
  <c r="R1398"/>
  <c r="C1397"/>
  <c r="D1397"/>
  <c r="E1397"/>
  <c r="Q1397"/>
  <c r="R1397"/>
  <c r="C1396"/>
  <c r="D1396"/>
  <c r="E1396"/>
  <c r="Q1396"/>
  <c r="R1396"/>
  <c r="C1395"/>
  <c r="D1395"/>
  <c r="E1395"/>
  <c r="Q1395"/>
  <c r="R1395"/>
  <c r="C1394"/>
  <c r="D1394"/>
  <c r="E1394"/>
  <c r="Q1394"/>
  <c r="R1394"/>
  <c r="C1393"/>
  <c r="D1393"/>
  <c r="E1393"/>
  <c r="Q1393"/>
  <c r="R1393"/>
  <c r="C1392"/>
  <c r="D1392"/>
  <c r="E1392"/>
  <c r="Q1392"/>
  <c r="R1392"/>
  <c r="C1391"/>
  <c r="D1391"/>
  <c r="E1391"/>
  <c r="Q1391"/>
  <c r="R1391"/>
  <c r="C1390"/>
  <c r="D1390"/>
  <c r="E1390"/>
  <c r="Q1390"/>
  <c r="R1390"/>
  <c r="C1386"/>
  <c r="D1386"/>
  <c r="E1383" l="1"/>
  <c r="E1384"/>
  <c r="E1382"/>
  <c r="E1385"/>
  <c r="E1387"/>
  <c r="E1388"/>
  <c r="E1389"/>
  <c r="D1383"/>
  <c r="D1384"/>
  <c r="D1382"/>
  <c r="D1385"/>
  <c r="D1387"/>
  <c r="D1388"/>
  <c r="D1389"/>
  <c r="Q1389"/>
  <c r="R1389"/>
  <c r="C1383"/>
  <c r="C1384"/>
  <c r="C1382"/>
  <c r="C1385"/>
  <c r="C1387"/>
  <c r="C1388"/>
  <c r="C1389"/>
  <c r="Q1383"/>
  <c r="Q1384"/>
  <c r="Q1382"/>
  <c r="Q1385"/>
  <c r="Q1386"/>
  <c r="Q1387"/>
  <c r="Q1388"/>
  <c r="R1383"/>
  <c r="R1384"/>
  <c r="R1382"/>
  <c r="R1385"/>
  <c r="R1386"/>
  <c r="R1387"/>
  <c r="R1388"/>
  <c r="C1381"/>
  <c r="D1381"/>
  <c r="E1381"/>
  <c r="Q1381"/>
  <c r="R1381"/>
  <c r="C1380" l="1"/>
  <c r="D1380"/>
  <c r="E1380"/>
  <c r="Q1380"/>
  <c r="R1380"/>
  <c r="C1379"/>
  <c r="D1379"/>
  <c r="E1379"/>
  <c r="Q1379"/>
  <c r="R1379"/>
  <c r="C1378"/>
  <c r="D1378"/>
  <c r="E1378"/>
  <c r="Q1378"/>
  <c r="R1378"/>
  <c r="C1377"/>
  <c r="D1377"/>
  <c r="E1377"/>
  <c r="Q1377"/>
  <c r="R1377"/>
  <c r="C1376"/>
  <c r="D1376"/>
  <c r="E1376"/>
  <c r="Q1376"/>
  <c r="R1376"/>
  <c r="C1375"/>
  <c r="D1375"/>
  <c r="E1375"/>
  <c r="Q1375"/>
  <c r="R1375"/>
  <c r="C1374"/>
  <c r="D1374"/>
  <c r="E1374"/>
  <c r="Q1374"/>
  <c r="R1374"/>
  <c r="C1373"/>
  <c r="D1373"/>
  <c r="E1373"/>
  <c r="Q1373"/>
  <c r="R1373"/>
  <c r="C1372"/>
  <c r="D1372"/>
  <c r="E1372"/>
  <c r="Q1372"/>
  <c r="R1372"/>
  <c r="C1371"/>
  <c r="D1371"/>
  <c r="E1371"/>
  <c r="Q1371"/>
  <c r="R1371"/>
  <c r="C1370"/>
  <c r="D1370"/>
  <c r="E1370"/>
  <c r="Q1370"/>
  <c r="R1370"/>
  <c r="C1369"/>
  <c r="D1369"/>
  <c r="E1369"/>
  <c r="Q1369"/>
  <c r="R1369"/>
  <c r="C1368"/>
  <c r="D1368"/>
  <c r="E1368"/>
  <c r="Q1368"/>
  <c r="R1368"/>
  <c r="C1367"/>
  <c r="D1367"/>
  <c r="E1367"/>
  <c r="Q1367"/>
  <c r="R1367"/>
  <c r="C1366"/>
  <c r="D1366"/>
  <c r="E1366"/>
  <c r="Q1366"/>
  <c r="R1366"/>
  <c r="C1365"/>
  <c r="D1365"/>
  <c r="E1365"/>
  <c r="Q1365"/>
  <c r="R1365"/>
  <c r="C1364"/>
  <c r="D1364"/>
  <c r="E1364"/>
  <c r="Q1364"/>
  <c r="R1364"/>
  <c r="C1363"/>
  <c r="D1363"/>
  <c r="E1363"/>
  <c r="Q1363"/>
  <c r="R1363"/>
  <c r="C1362"/>
  <c r="D1362"/>
  <c r="E1362"/>
  <c r="Q1362"/>
  <c r="R1362"/>
  <c r="C1361"/>
  <c r="D1361"/>
  <c r="E1361"/>
  <c r="Q1361"/>
  <c r="R1361"/>
  <c r="C1360"/>
  <c r="D1360"/>
  <c r="E1360"/>
  <c r="Q1360"/>
  <c r="R1360"/>
  <c r="C1359"/>
  <c r="D1359"/>
  <c r="E1359"/>
  <c r="Q1359"/>
  <c r="R1359"/>
  <c r="C1358"/>
  <c r="D1358"/>
  <c r="E1358"/>
  <c r="Q1358"/>
  <c r="R1358"/>
  <c r="C1357" l="1"/>
  <c r="D1357"/>
  <c r="E1357"/>
  <c r="Q1357"/>
  <c r="R1357"/>
  <c r="C1356"/>
  <c r="D1356"/>
  <c r="E1356"/>
  <c r="Q1356"/>
  <c r="R1356"/>
  <c r="C1355"/>
  <c r="D1355"/>
  <c r="E1355"/>
  <c r="Q1355"/>
  <c r="R1355"/>
  <c r="C1354"/>
  <c r="D1354"/>
  <c r="E1354"/>
  <c r="Q1354"/>
  <c r="R1354"/>
  <c r="C1338"/>
  <c r="D1338"/>
  <c r="E1338"/>
  <c r="Q1338"/>
  <c r="R1338"/>
  <c r="C1353"/>
  <c r="D1353"/>
  <c r="E1353"/>
  <c r="Q1353"/>
  <c r="R1353"/>
  <c r="C1352"/>
  <c r="D1352"/>
  <c r="E1352"/>
  <c r="Q1352"/>
  <c r="R1352"/>
  <c r="E1351"/>
  <c r="D1351"/>
  <c r="C1351"/>
  <c r="Q1351"/>
  <c r="R1351"/>
  <c r="C1350"/>
  <c r="D1350"/>
  <c r="E1350"/>
  <c r="Q1350"/>
  <c r="R1350"/>
  <c r="C1348"/>
  <c r="D1348"/>
  <c r="E1348"/>
  <c r="Q1348"/>
  <c r="R1348"/>
  <c r="C1346"/>
  <c r="D1346"/>
  <c r="E1346"/>
  <c r="Q1346"/>
  <c r="R1346"/>
  <c r="C1349"/>
  <c r="D1349"/>
  <c r="E1349"/>
  <c r="Q1349"/>
  <c r="R1349"/>
  <c r="C1347"/>
  <c r="D1347"/>
  <c r="E1347"/>
  <c r="Q1347"/>
  <c r="R1347"/>
  <c r="C1345"/>
  <c r="D1345"/>
  <c r="E1345"/>
  <c r="Q1345"/>
  <c r="R1345"/>
  <c r="C1344"/>
  <c r="D1344"/>
  <c r="E1344"/>
  <c r="Q1344"/>
  <c r="R1344"/>
  <c r="C1343"/>
  <c r="D1343"/>
  <c r="E1343"/>
  <c r="Q1343"/>
  <c r="R1343"/>
  <c r="C1342"/>
  <c r="D1342"/>
  <c r="E1342"/>
  <c r="Q1342"/>
  <c r="R1342"/>
  <c r="C1337"/>
  <c r="D1337"/>
  <c r="E1337"/>
  <c r="Q1337"/>
  <c r="R1337"/>
  <c r="C1333"/>
  <c r="D1333"/>
  <c r="E1333"/>
  <c r="Q1333"/>
  <c r="R1333"/>
  <c r="C1341"/>
  <c r="D1341"/>
  <c r="E1341"/>
  <c r="Q1341"/>
  <c r="R1341"/>
  <c r="C1340"/>
  <c r="D1340"/>
  <c r="E1340"/>
  <c r="Q1340"/>
  <c r="R1340"/>
  <c r="C1339"/>
  <c r="D1339"/>
  <c r="E1339"/>
  <c r="Q1339"/>
  <c r="R1339"/>
  <c r="C1336"/>
  <c r="D1336"/>
  <c r="E1336"/>
  <c r="Q1336"/>
  <c r="R1336"/>
  <c r="C1335"/>
  <c r="D1335"/>
  <c r="E1335"/>
  <c r="Q1335"/>
  <c r="R1335"/>
  <c r="C1329"/>
  <c r="D1329"/>
  <c r="E1329"/>
  <c r="Q1329"/>
  <c r="R1329"/>
  <c r="C1331"/>
  <c r="D1331"/>
  <c r="E1331"/>
  <c r="Q1331"/>
  <c r="R1331"/>
  <c r="C1332"/>
  <c r="D1332"/>
  <c r="E1332"/>
  <c r="Q1332"/>
  <c r="R1332"/>
  <c r="C1334"/>
  <c r="D1334"/>
  <c r="E1334"/>
  <c r="Q1334"/>
  <c r="R1334"/>
  <c r="C1330"/>
  <c r="D1330"/>
  <c r="E1330"/>
  <c r="Q1330"/>
  <c r="R1330"/>
  <c r="C1327"/>
  <c r="D1327"/>
  <c r="E1327"/>
  <c r="Q1327"/>
  <c r="R1327"/>
  <c r="C1328"/>
  <c r="D1328"/>
  <c r="E1328"/>
  <c r="Q1328"/>
  <c r="R1328"/>
  <c r="D1250" l="1"/>
  <c r="C1250"/>
  <c r="E1326"/>
  <c r="E1325"/>
  <c r="D1325"/>
  <c r="D1326"/>
  <c r="C1325"/>
  <c r="C1326"/>
  <c r="E1324"/>
  <c r="C1324"/>
  <c r="E1323"/>
  <c r="E1322"/>
  <c r="D1322"/>
  <c r="D1323"/>
  <c r="D1324"/>
  <c r="C1322"/>
  <c r="C1323"/>
  <c r="E1321"/>
  <c r="D1321"/>
  <c r="E1320"/>
  <c r="D1318"/>
  <c r="C1318"/>
  <c r="E1317"/>
  <c r="E1318"/>
  <c r="E1319"/>
  <c r="D1317"/>
  <c r="D1319"/>
  <c r="D1320"/>
  <c r="C1317"/>
  <c r="C1319"/>
  <c r="C1320"/>
  <c r="F1320" s="1"/>
  <c r="C1321"/>
  <c r="F1321" s="1"/>
  <c r="E1316"/>
  <c r="D1316"/>
  <c r="D1315"/>
  <c r="D1304"/>
  <c r="D1314"/>
  <c r="C1304"/>
  <c r="D1301"/>
  <c r="D1307"/>
  <c r="D1308"/>
  <c r="D1309"/>
  <c r="D1310"/>
  <c r="D1311"/>
  <c r="D1312"/>
  <c r="D1313"/>
  <c r="E1306"/>
  <c r="E1301"/>
  <c r="E1307"/>
  <c r="E1308"/>
  <c r="E1309"/>
  <c r="E1310"/>
  <c r="E1311"/>
  <c r="E1312"/>
  <c r="E1313"/>
  <c r="E1314"/>
  <c r="E1315"/>
  <c r="C1306"/>
  <c r="C1301"/>
  <c r="C1307"/>
  <c r="C1308"/>
  <c r="C1309"/>
  <c r="C1310"/>
  <c r="C1311"/>
  <c r="C1312"/>
  <c r="C1313"/>
  <c r="C1314"/>
  <c r="C1315"/>
  <c r="C1316"/>
  <c r="E1305"/>
  <c r="D1305"/>
  <c r="D1306"/>
  <c r="D1300"/>
  <c r="D1303"/>
  <c r="C1302"/>
  <c r="C1303"/>
  <c r="C1300"/>
  <c r="C1305"/>
  <c r="E1298"/>
  <c r="E1299"/>
  <c r="E1302"/>
  <c r="E1303"/>
  <c r="E1300"/>
  <c r="E1297"/>
  <c r="E1294"/>
  <c r="E1295"/>
  <c r="E1296"/>
  <c r="D1296"/>
  <c r="C1296"/>
  <c r="C6" l="1"/>
  <c r="D6"/>
  <c r="C7"/>
  <c r="D7"/>
  <c r="C8"/>
  <c r="D8"/>
  <c r="C9"/>
  <c r="D9"/>
  <c r="C10"/>
  <c r="D10"/>
  <c r="C11"/>
  <c r="D11"/>
  <c r="C12"/>
  <c r="D12"/>
  <c r="C13"/>
  <c r="D13"/>
  <c r="C14"/>
  <c r="D14"/>
  <c r="C15"/>
  <c r="D15"/>
  <c r="C16"/>
  <c r="D16"/>
  <c r="C17"/>
  <c r="D17"/>
  <c r="C18"/>
  <c r="D18"/>
  <c r="C19"/>
  <c r="D19"/>
  <c r="C20"/>
  <c r="D20"/>
  <c r="C21"/>
  <c r="D21"/>
  <c r="C22"/>
  <c r="D22"/>
  <c r="C23"/>
  <c r="D23"/>
  <c r="C24"/>
  <c r="D24"/>
  <c r="C25"/>
  <c r="D25"/>
  <c r="C26"/>
  <c r="D26"/>
  <c r="C27"/>
  <c r="D27"/>
  <c r="C28"/>
  <c r="D28"/>
  <c r="C29"/>
  <c r="D29"/>
  <c r="C30"/>
  <c r="D30"/>
  <c r="C31"/>
  <c r="D31"/>
  <c r="C32"/>
  <c r="D32"/>
  <c r="C33"/>
  <c r="D33"/>
  <c r="C34"/>
  <c r="D34"/>
  <c r="C35"/>
  <c r="D35"/>
  <c r="C36"/>
  <c r="D36"/>
  <c r="C37"/>
  <c r="D37"/>
  <c r="C38"/>
  <c r="D38"/>
  <c r="C39"/>
  <c r="D39"/>
  <c r="C40"/>
  <c r="D40"/>
  <c r="C41"/>
  <c r="D41"/>
  <c r="C42"/>
  <c r="D42"/>
  <c r="C43"/>
  <c r="D43"/>
  <c r="C44"/>
  <c r="D44"/>
  <c r="C45"/>
  <c r="D45"/>
  <c r="C46"/>
  <c r="D46"/>
  <c r="C47"/>
  <c r="D47"/>
  <c r="C48"/>
  <c r="D48"/>
  <c r="C49"/>
  <c r="D49"/>
  <c r="C50"/>
  <c r="D50"/>
  <c r="C51"/>
  <c r="D51"/>
  <c r="C52"/>
  <c r="D52"/>
  <c r="C53"/>
  <c r="D53"/>
  <c r="C54"/>
  <c r="D54"/>
  <c r="C55"/>
  <c r="D55"/>
  <c r="C56"/>
  <c r="D56"/>
  <c r="C57"/>
  <c r="D57"/>
  <c r="C58"/>
  <c r="D58"/>
  <c r="C59"/>
  <c r="D59"/>
  <c r="C60"/>
  <c r="D60"/>
  <c r="C61"/>
  <c r="D61"/>
  <c r="C62"/>
  <c r="D62"/>
  <c r="C63"/>
  <c r="D63"/>
  <c r="C64"/>
  <c r="D64"/>
  <c r="C65"/>
  <c r="D65"/>
  <c r="C66"/>
  <c r="D66"/>
  <c r="C67"/>
  <c r="D67"/>
  <c r="C68"/>
  <c r="D68"/>
  <c r="C69"/>
  <c r="D69"/>
  <c r="C70"/>
  <c r="D70"/>
  <c r="C71"/>
  <c r="D71"/>
  <c r="C72"/>
  <c r="D72"/>
  <c r="C73"/>
  <c r="D73"/>
  <c r="C74"/>
  <c r="D74"/>
  <c r="C75"/>
  <c r="D75"/>
  <c r="C76"/>
  <c r="D76"/>
  <c r="C77"/>
  <c r="D77"/>
  <c r="C79"/>
  <c r="D79"/>
  <c r="C80"/>
  <c r="D80"/>
  <c r="C81"/>
  <c r="D81"/>
  <c r="C82"/>
  <c r="D82"/>
  <c r="C83"/>
  <c r="D83"/>
  <c r="C84"/>
  <c r="D84"/>
  <c r="C85"/>
  <c r="D85"/>
  <c r="C86"/>
  <c r="D86"/>
  <c r="C87"/>
  <c r="D87"/>
  <c r="C88"/>
  <c r="D88"/>
  <c r="C89"/>
  <c r="D89"/>
  <c r="C90"/>
  <c r="D90"/>
  <c r="C91"/>
  <c r="D91"/>
  <c r="C92"/>
  <c r="D92"/>
  <c r="C93"/>
  <c r="D93"/>
  <c r="C94"/>
  <c r="D94"/>
  <c r="C95"/>
  <c r="D95"/>
  <c r="C96"/>
  <c r="D96"/>
  <c r="C97"/>
  <c r="D97"/>
  <c r="C98"/>
  <c r="D98"/>
  <c r="C99"/>
  <c r="D99"/>
  <c r="C100"/>
  <c r="D100"/>
  <c r="C101"/>
  <c r="D101"/>
  <c r="C102"/>
  <c r="D102"/>
  <c r="C103"/>
  <c r="D103"/>
  <c r="C104"/>
  <c r="D104"/>
  <c r="C105"/>
  <c r="D105"/>
  <c r="C106"/>
  <c r="D106"/>
  <c r="C107"/>
  <c r="D107"/>
  <c r="C108"/>
  <c r="D108"/>
  <c r="C109"/>
  <c r="D109"/>
  <c r="C110"/>
  <c r="D110"/>
  <c r="C111"/>
  <c r="D111"/>
  <c r="C112"/>
  <c r="D112"/>
  <c r="C113"/>
  <c r="D113"/>
  <c r="C114"/>
  <c r="D114"/>
  <c r="C115"/>
  <c r="D115"/>
  <c r="C116"/>
  <c r="D116"/>
  <c r="C117"/>
  <c r="D117"/>
  <c r="C118"/>
  <c r="D118"/>
  <c r="C119"/>
  <c r="D119"/>
  <c r="C120"/>
  <c r="D120"/>
  <c r="C121"/>
  <c r="D121"/>
  <c r="C122"/>
  <c r="C123"/>
  <c r="D123"/>
  <c r="C124"/>
  <c r="D124"/>
  <c r="C125"/>
  <c r="D125"/>
  <c r="C126"/>
  <c r="D126"/>
  <c r="C127"/>
  <c r="D127"/>
  <c r="C128"/>
  <c r="D128"/>
  <c r="C129"/>
  <c r="D129"/>
  <c r="C130"/>
  <c r="D130"/>
  <c r="C131"/>
  <c r="D131"/>
  <c r="C132"/>
  <c r="D132"/>
  <c r="C133"/>
  <c r="D133"/>
  <c r="C134"/>
  <c r="D134"/>
  <c r="C135"/>
  <c r="D135"/>
  <c r="C136"/>
  <c r="D136"/>
  <c r="C137"/>
  <c r="D137"/>
  <c r="C138"/>
  <c r="D138"/>
  <c r="C139"/>
  <c r="D139"/>
  <c r="C141"/>
  <c r="D141"/>
  <c r="C142"/>
  <c r="D142"/>
  <c r="C143"/>
  <c r="D143"/>
  <c r="C144"/>
  <c r="C145"/>
  <c r="D145"/>
  <c r="C146"/>
  <c r="D146"/>
  <c r="C147"/>
  <c r="D147"/>
  <c r="C148"/>
  <c r="D148"/>
  <c r="C149"/>
  <c r="D149"/>
  <c r="C150"/>
  <c r="D150"/>
  <c r="C151"/>
  <c r="D151"/>
  <c r="C152"/>
  <c r="D152"/>
  <c r="C153"/>
  <c r="D153"/>
  <c r="C154"/>
  <c r="D154"/>
  <c r="C155"/>
  <c r="D155"/>
  <c r="C156"/>
  <c r="D156"/>
  <c r="C157"/>
  <c r="D157"/>
  <c r="C158"/>
  <c r="D158"/>
  <c r="C159"/>
  <c r="D159"/>
  <c r="C160"/>
  <c r="D160"/>
  <c r="C161"/>
  <c r="D161"/>
  <c r="C162"/>
  <c r="D162"/>
  <c r="C163"/>
  <c r="D163"/>
  <c r="C164"/>
  <c r="D164"/>
  <c r="C165"/>
  <c r="D165"/>
  <c r="C166"/>
  <c r="D166"/>
  <c r="C167"/>
  <c r="D167"/>
  <c r="C168"/>
  <c r="D168"/>
  <c r="C169"/>
  <c r="C170"/>
  <c r="D170"/>
  <c r="C171"/>
  <c r="D171"/>
  <c r="C172"/>
  <c r="D172"/>
  <c r="C173"/>
  <c r="D173"/>
  <c r="C174"/>
  <c r="D174"/>
  <c r="C175"/>
  <c r="D175"/>
  <c r="C176"/>
  <c r="D176"/>
  <c r="C177"/>
  <c r="D177"/>
  <c r="C178"/>
  <c r="D178"/>
  <c r="C179"/>
  <c r="D179"/>
  <c r="C180"/>
  <c r="D180"/>
  <c r="C181"/>
  <c r="D181"/>
  <c r="C182"/>
  <c r="D182"/>
  <c r="C183"/>
  <c r="D183"/>
  <c r="C184"/>
  <c r="D184"/>
  <c r="C185"/>
  <c r="D185"/>
  <c r="D186"/>
  <c r="C187"/>
  <c r="D187"/>
  <c r="C188"/>
  <c r="D188"/>
  <c r="C189"/>
  <c r="D189"/>
  <c r="C190"/>
  <c r="D190"/>
  <c r="C191"/>
  <c r="D191"/>
  <c r="C192"/>
  <c r="D192"/>
  <c r="C193"/>
  <c r="D193"/>
  <c r="C194"/>
  <c r="D194"/>
  <c r="C195"/>
  <c r="D195"/>
  <c r="C196"/>
  <c r="D196"/>
  <c r="C197"/>
  <c r="D197"/>
  <c r="C198"/>
  <c r="D198"/>
  <c r="C199"/>
  <c r="D199"/>
  <c r="C200"/>
  <c r="D200"/>
  <c r="C201"/>
  <c r="D201"/>
  <c r="C202"/>
  <c r="D202"/>
  <c r="C203"/>
  <c r="D203"/>
  <c r="C204"/>
  <c r="D204"/>
  <c r="C205"/>
  <c r="D205"/>
  <c r="C206"/>
  <c r="D206"/>
  <c r="C207"/>
  <c r="D207"/>
  <c r="C208"/>
  <c r="D208"/>
  <c r="C209"/>
  <c r="D209"/>
  <c r="C210"/>
  <c r="D210"/>
  <c r="C211"/>
  <c r="D211"/>
  <c r="C212"/>
  <c r="D212"/>
  <c r="C213"/>
  <c r="D213"/>
  <c r="C214"/>
  <c r="D214"/>
  <c r="C215"/>
  <c r="D215"/>
  <c r="C216"/>
  <c r="D216"/>
  <c r="C217"/>
  <c r="D217"/>
  <c r="C218"/>
  <c r="D218"/>
  <c r="C219"/>
  <c r="D219"/>
  <c r="C220"/>
  <c r="D220"/>
  <c r="C221"/>
  <c r="D221"/>
  <c r="C222"/>
  <c r="D222"/>
  <c r="C223"/>
  <c r="D223"/>
  <c r="C224"/>
  <c r="D224"/>
  <c r="C225"/>
  <c r="D225"/>
  <c r="C226"/>
  <c r="D226"/>
  <c r="C227"/>
  <c r="D227"/>
  <c r="C228"/>
  <c r="D228"/>
  <c r="C229"/>
  <c r="D229"/>
  <c r="C230"/>
  <c r="D230"/>
  <c r="C231"/>
  <c r="D231"/>
  <c r="C232"/>
  <c r="D232"/>
  <c r="C233"/>
  <c r="D233"/>
  <c r="C234"/>
  <c r="D234"/>
  <c r="C235"/>
  <c r="D235"/>
  <c r="C236"/>
  <c r="D236"/>
  <c r="C237"/>
  <c r="D237"/>
  <c r="C238"/>
  <c r="D238"/>
  <c r="C239"/>
  <c r="D239"/>
  <c r="C240"/>
  <c r="D240"/>
  <c r="C241"/>
  <c r="D241"/>
  <c r="C242"/>
  <c r="D242"/>
  <c r="C243"/>
  <c r="D243"/>
  <c r="C244"/>
  <c r="D244"/>
  <c r="C245"/>
  <c r="D245"/>
  <c r="C246"/>
  <c r="D246"/>
  <c r="C247"/>
  <c r="D247"/>
  <c r="C248"/>
  <c r="D248"/>
  <c r="C249"/>
  <c r="D249"/>
  <c r="C250"/>
  <c r="D250"/>
  <c r="C251"/>
  <c r="D251"/>
  <c r="C252"/>
  <c r="D252"/>
  <c r="C253"/>
  <c r="D253"/>
  <c r="C254"/>
  <c r="D254"/>
  <c r="C255"/>
  <c r="D255"/>
  <c r="D256"/>
  <c r="C257"/>
  <c r="D257"/>
  <c r="C258"/>
  <c r="D258"/>
  <c r="C259"/>
  <c r="D259"/>
  <c r="C260"/>
  <c r="D260"/>
  <c r="C261"/>
  <c r="D261"/>
  <c r="C262"/>
  <c r="D262"/>
  <c r="C263"/>
  <c r="D263"/>
  <c r="C264"/>
  <c r="D264"/>
  <c r="C265"/>
  <c r="D265"/>
  <c r="C266"/>
  <c r="D266"/>
  <c r="C267"/>
  <c r="D267"/>
  <c r="C268"/>
  <c r="D268"/>
  <c r="C269"/>
  <c r="D269"/>
  <c r="C270"/>
  <c r="D270"/>
  <c r="D271"/>
  <c r="C272"/>
  <c r="D272"/>
  <c r="C273"/>
  <c r="D273"/>
  <c r="C274"/>
  <c r="D274"/>
  <c r="C275"/>
  <c r="D275"/>
  <c r="C276"/>
  <c r="D276"/>
  <c r="C277"/>
  <c r="D277"/>
  <c r="C278"/>
  <c r="D278"/>
  <c r="C279"/>
  <c r="D279"/>
  <c r="C280"/>
  <c r="D280"/>
  <c r="C281"/>
  <c r="D281"/>
  <c r="C282"/>
  <c r="D282"/>
  <c r="C283"/>
  <c r="D283"/>
  <c r="C284"/>
  <c r="D284"/>
  <c r="C285"/>
  <c r="D285"/>
  <c r="C286"/>
  <c r="D286"/>
  <c r="C287"/>
  <c r="D287"/>
  <c r="C288"/>
  <c r="D288"/>
  <c r="C289"/>
  <c r="D289"/>
  <c r="C290"/>
  <c r="D290"/>
  <c r="C291"/>
  <c r="D291"/>
  <c r="C292"/>
  <c r="D292"/>
  <c r="C293"/>
  <c r="D293"/>
  <c r="C294"/>
  <c r="D294"/>
  <c r="C295"/>
  <c r="D295"/>
  <c r="C296"/>
  <c r="D296"/>
  <c r="C297"/>
  <c r="D297"/>
  <c r="C298"/>
  <c r="D298"/>
  <c r="C299"/>
  <c r="D299"/>
  <c r="C300"/>
  <c r="D300"/>
  <c r="C301"/>
  <c r="D301"/>
  <c r="C302"/>
  <c r="D302"/>
  <c r="C303"/>
  <c r="D303"/>
  <c r="C304"/>
  <c r="D304"/>
  <c r="C305"/>
  <c r="D305"/>
  <c r="C306"/>
  <c r="D306"/>
  <c r="C307"/>
  <c r="D307"/>
  <c r="C308"/>
  <c r="D308"/>
  <c r="C309"/>
  <c r="D309"/>
  <c r="C310"/>
  <c r="D310"/>
  <c r="C311"/>
  <c r="D311"/>
  <c r="C312"/>
  <c r="D312"/>
  <c r="C313"/>
  <c r="D313"/>
  <c r="C314"/>
  <c r="D314"/>
  <c r="C315"/>
  <c r="D315"/>
  <c r="C316"/>
  <c r="D316"/>
  <c r="C317"/>
  <c r="D317"/>
  <c r="C318"/>
  <c r="D318"/>
  <c r="D319"/>
  <c r="C320"/>
  <c r="D320"/>
  <c r="C321"/>
  <c r="D321"/>
  <c r="C322"/>
  <c r="D322"/>
  <c r="C323"/>
  <c r="D323"/>
  <c r="C324"/>
  <c r="D324"/>
  <c r="C325"/>
  <c r="D325"/>
  <c r="C326"/>
  <c r="D326"/>
  <c r="C327"/>
  <c r="D327"/>
  <c r="C328"/>
  <c r="D328"/>
  <c r="C329"/>
  <c r="D329"/>
  <c r="C330"/>
  <c r="D330"/>
  <c r="C331"/>
  <c r="D331"/>
  <c r="C332"/>
  <c r="D332"/>
  <c r="C333"/>
  <c r="D333"/>
  <c r="C334"/>
  <c r="D334"/>
  <c r="C335"/>
  <c r="D335"/>
  <c r="C336"/>
  <c r="D336"/>
  <c r="C337"/>
  <c r="D337"/>
  <c r="C338"/>
  <c r="D338"/>
  <c r="C339"/>
  <c r="D339"/>
  <c r="C340"/>
  <c r="D340"/>
  <c r="C341"/>
  <c r="D341"/>
  <c r="C342"/>
  <c r="D342"/>
  <c r="C343"/>
  <c r="D343"/>
  <c r="C344"/>
  <c r="D344"/>
  <c r="C345"/>
  <c r="D345"/>
  <c r="C346"/>
  <c r="D346"/>
  <c r="C347"/>
  <c r="D347"/>
  <c r="C348"/>
  <c r="D348"/>
  <c r="C349"/>
  <c r="D349"/>
  <c r="C350"/>
  <c r="D350"/>
  <c r="C351"/>
  <c r="D351"/>
  <c r="C352"/>
  <c r="D352"/>
  <c r="C353"/>
  <c r="D353"/>
  <c r="C354"/>
  <c r="D354"/>
  <c r="C355"/>
  <c r="D355"/>
  <c r="C356"/>
  <c r="D356"/>
  <c r="C357"/>
  <c r="D357"/>
  <c r="C358"/>
  <c r="D358"/>
  <c r="C359"/>
  <c r="D359"/>
  <c r="C360"/>
  <c r="D360"/>
  <c r="C361"/>
  <c r="D361"/>
  <c r="C362"/>
  <c r="D362"/>
  <c r="C363"/>
  <c r="D363"/>
  <c r="C364"/>
  <c r="D364"/>
  <c r="C365"/>
  <c r="D365"/>
  <c r="C366"/>
  <c r="D366"/>
  <c r="C367"/>
  <c r="D367"/>
  <c r="C368"/>
  <c r="D368"/>
  <c r="C369"/>
  <c r="D369"/>
  <c r="C370"/>
  <c r="D370"/>
  <c r="C371"/>
  <c r="D371"/>
  <c r="C372"/>
  <c r="D372"/>
  <c r="C373"/>
  <c r="D373"/>
  <c r="C374"/>
  <c r="D374"/>
  <c r="C375"/>
  <c r="D375"/>
  <c r="C376"/>
  <c r="D376"/>
  <c r="C377"/>
  <c r="D377"/>
  <c r="C378"/>
  <c r="D378"/>
  <c r="C379"/>
  <c r="D379"/>
  <c r="C380"/>
  <c r="D380"/>
  <c r="C381"/>
  <c r="D381"/>
  <c r="C382"/>
  <c r="D382"/>
  <c r="C383"/>
  <c r="D383"/>
  <c r="C384"/>
  <c r="D384"/>
  <c r="C385"/>
  <c r="D385"/>
  <c r="C386"/>
  <c r="D386"/>
  <c r="C387"/>
  <c r="D387"/>
  <c r="C388"/>
  <c r="D388"/>
  <c r="C389"/>
  <c r="D389"/>
  <c r="C390"/>
  <c r="D390"/>
  <c r="C391"/>
  <c r="D391"/>
  <c r="C392"/>
  <c r="D392"/>
  <c r="C393"/>
  <c r="D393"/>
  <c r="C394"/>
  <c r="D394"/>
  <c r="C395"/>
  <c r="D395"/>
  <c r="C396"/>
  <c r="D396"/>
  <c r="C397"/>
  <c r="D397"/>
  <c r="C398"/>
  <c r="D398"/>
  <c r="C399"/>
  <c r="C400"/>
  <c r="D400"/>
  <c r="C401"/>
  <c r="D401"/>
  <c r="C402"/>
  <c r="D402"/>
  <c r="C403"/>
  <c r="D403"/>
  <c r="C404"/>
  <c r="D404"/>
  <c r="C405"/>
  <c r="D405"/>
  <c r="C406"/>
  <c r="D406"/>
  <c r="C407"/>
  <c r="D407"/>
  <c r="C408"/>
  <c r="D408"/>
  <c r="C409"/>
  <c r="D409"/>
  <c r="C410"/>
  <c r="D410"/>
  <c r="C411"/>
  <c r="D411"/>
  <c r="C412"/>
  <c r="D412"/>
  <c r="C413"/>
  <c r="D413"/>
  <c r="C414"/>
  <c r="D414"/>
  <c r="C415"/>
  <c r="D415"/>
  <c r="C416"/>
  <c r="D416"/>
  <c r="C417"/>
  <c r="D417"/>
  <c r="C418"/>
  <c r="D418"/>
  <c r="C419"/>
  <c r="D419"/>
  <c r="C420"/>
  <c r="D420"/>
  <c r="C421"/>
  <c r="D421"/>
  <c r="C422"/>
  <c r="D422"/>
  <c r="C423"/>
  <c r="D423"/>
  <c r="C424"/>
  <c r="D424"/>
  <c r="C425"/>
  <c r="D425"/>
  <c r="C426"/>
  <c r="D426"/>
  <c r="C427"/>
  <c r="D427"/>
  <c r="C428"/>
  <c r="D428"/>
  <c r="C429"/>
  <c r="D429"/>
  <c r="C430"/>
  <c r="D430"/>
  <c r="C431"/>
  <c r="D431"/>
  <c r="C432"/>
  <c r="D432"/>
  <c r="C433"/>
  <c r="D433"/>
  <c r="C434"/>
  <c r="D434"/>
  <c r="C435"/>
  <c r="D435"/>
  <c r="C436"/>
  <c r="D436"/>
  <c r="C437"/>
  <c r="D437"/>
  <c r="C438"/>
  <c r="D438"/>
  <c r="C439"/>
  <c r="D439"/>
  <c r="C440"/>
  <c r="D440"/>
  <c r="C441"/>
  <c r="D441"/>
  <c r="C442"/>
  <c r="D442"/>
  <c r="C443"/>
  <c r="D443"/>
  <c r="C444"/>
  <c r="D444"/>
  <c r="C445"/>
  <c r="D445"/>
  <c r="C446"/>
  <c r="D446"/>
  <c r="C447"/>
  <c r="D447"/>
  <c r="C448"/>
  <c r="D448"/>
  <c r="C449"/>
  <c r="D449"/>
  <c r="C450"/>
  <c r="D450"/>
  <c r="C451"/>
  <c r="D451"/>
  <c r="C452"/>
  <c r="D452"/>
  <c r="C453"/>
  <c r="D453"/>
  <c r="D454"/>
  <c r="C455"/>
  <c r="D455"/>
  <c r="C456"/>
  <c r="D456"/>
  <c r="C457"/>
  <c r="D457"/>
  <c r="C458"/>
  <c r="D458"/>
  <c r="C459"/>
  <c r="D459"/>
  <c r="C460"/>
  <c r="D460"/>
  <c r="C461"/>
  <c r="D461"/>
  <c r="C462"/>
  <c r="D462"/>
  <c r="C463"/>
  <c r="D463"/>
  <c r="C464"/>
  <c r="D464"/>
  <c r="C465"/>
  <c r="D465"/>
  <c r="C466"/>
  <c r="D466"/>
  <c r="C467"/>
  <c r="D467"/>
  <c r="C468"/>
  <c r="D468"/>
  <c r="C469"/>
  <c r="D469"/>
  <c r="C470"/>
  <c r="D470"/>
  <c r="C471"/>
  <c r="D471"/>
  <c r="C472"/>
  <c r="D472"/>
  <c r="C473"/>
  <c r="D473"/>
  <c r="C474"/>
  <c r="D474"/>
  <c r="C475"/>
  <c r="D475"/>
  <c r="C476"/>
  <c r="D476"/>
  <c r="C477"/>
  <c r="D477"/>
  <c r="C478"/>
  <c r="D478"/>
  <c r="C479"/>
  <c r="D479"/>
  <c r="C480"/>
  <c r="D480"/>
  <c r="C481"/>
  <c r="D481"/>
  <c r="C482"/>
  <c r="D482"/>
  <c r="C483"/>
  <c r="D483"/>
  <c r="C484"/>
  <c r="D484"/>
  <c r="C485"/>
  <c r="D485"/>
  <c r="C486"/>
  <c r="D486"/>
  <c r="C487"/>
  <c r="D487"/>
  <c r="C488"/>
  <c r="D488"/>
  <c r="C489"/>
  <c r="D489"/>
  <c r="C490"/>
  <c r="D490"/>
  <c r="C491"/>
  <c r="D491"/>
  <c r="C492"/>
  <c r="D492"/>
  <c r="C493"/>
  <c r="D493"/>
  <c r="C494"/>
  <c r="D494"/>
  <c r="C495"/>
  <c r="D495"/>
  <c r="C496"/>
  <c r="D496"/>
  <c r="C497"/>
  <c r="D497"/>
  <c r="C498"/>
  <c r="D498"/>
  <c r="C499"/>
  <c r="D499"/>
  <c r="C500"/>
  <c r="D500"/>
  <c r="C501"/>
  <c r="D501"/>
  <c r="C502"/>
  <c r="D502"/>
  <c r="C503"/>
  <c r="D503"/>
  <c r="C504"/>
  <c r="D504"/>
  <c r="C505"/>
  <c r="D505"/>
  <c r="C506"/>
  <c r="D506"/>
  <c r="C507"/>
  <c r="D507"/>
  <c r="C508"/>
  <c r="D508"/>
  <c r="C509"/>
  <c r="D509"/>
  <c r="C510"/>
  <c r="D510"/>
  <c r="C511"/>
  <c r="D511"/>
  <c r="C512"/>
  <c r="D512"/>
  <c r="C513"/>
  <c r="D513"/>
  <c r="C514"/>
  <c r="D514"/>
  <c r="C515"/>
  <c r="D515"/>
  <c r="C516"/>
  <c r="D516"/>
  <c r="C517"/>
  <c r="D517"/>
  <c r="C518"/>
  <c r="D518"/>
  <c r="C519"/>
  <c r="D519"/>
  <c r="C520"/>
  <c r="D520"/>
  <c r="C521"/>
  <c r="D521"/>
  <c r="C522"/>
  <c r="D522"/>
  <c r="C523"/>
  <c r="D523"/>
  <c r="C524"/>
  <c r="D524"/>
  <c r="C525"/>
  <c r="D525"/>
  <c r="C526"/>
  <c r="D526"/>
  <c r="C527"/>
  <c r="D527"/>
  <c r="C528"/>
  <c r="D528"/>
  <c r="C529"/>
  <c r="D529"/>
  <c r="C530"/>
  <c r="D530"/>
  <c r="C531"/>
  <c r="D531"/>
  <c r="C532"/>
  <c r="D532"/>
  <c r="C533"/>
  <c r="D533"/>
  <c r="C534"/>
  <c r="D534"/>
  <c r="C535"/>
  <c r="D535"/>
  <c r="C536"/>
  <c r="D536"/>
  <c r="C537"/>
  <c r="D537"/>
  <c r="C538"/>
  <c r="D538"/>
  <c r="C539"/>
  <c r="D539"/>
  <c r="C540"/>
  <c r="D540"/>
  <c r="C541"/>
  <c r="D541"/>
  <c r="C542"/>
  <c r="D542"/>
  <c r="C543"/>
  <c r="D543"/>
  <c r="C544"/>
  <c r="D544"/>
  <c r="C545"/>
  <c r="D545"/>
  <c r="C546"/>
  <c r="D546"/>
  <c r="C547"/>
  <c r="D547"/>
  <c r="C548"/>
  <c r="D548"/>
  <c r="C549"/>
  <c r="D549"/>
  <c r="C550"/>
  <c r="D550"/>
  <c r="C551"/>
  <c r="D551"/>
  <c r="C552"/>
  <c r="D552"/>
  <c r="C553"/>
  <c r="D553"/>
  <c r="C554"/>
  <c r="D554"/>
  <c r="C555"/>
  <c r="D555"/>
  <c r="C556"/>
  <c r="D556"/>
  <c r="C557"/>
  <c r="D557"/>
  <c r="D558"/>
  <c r="C559"/>
  <c r="D559"/>
  <c r="C560"/>
  <c r="D560"/>
  <c r="C561"/>
  <c r="D561"/>
  <c r="C562"/>
  <c r="D562"/>
  <c r="C563"/>
  <c r="D563"/>
  <c r="C564"/>
  <c r="D564"/>
  <c r="C565"/>
  <c r="D565"/>
  <c r="C566"/>
  <c r="D566"/>
  <c r="C567"/>
  <c r="D567"/>
  <c r="C568"/>
  <c r="D568"/>
  <c r="C569"/>
  <c r="D569"/>
  <c r="C570"/>
  <c r="D570"/>
  <c r="C571"/>
  <c r="D571"/>
  <c r="C572"/>
  <c r="D572"/>
  <c r="C573"/>
  <c r="D573"/>
  <c r="C574"/>
  <c r="D574"/>
  <c r="C575"/>
  <c r="D575"/>
  <c r="C576"/>
  <c r="D576"/>
  <c r="C577"/>
  <c r="D577"/>
  <c r="C578"/>
  <c r="D578"/>
  <c r="C579"/>
  <c r="D579"/>
  <c r="C580"/>
  <c r="D580"/>
  <c r="C581"/>
  <c r="D581"/>
  <c r="C582"/>
  <c r="D582"/>
  <c r="C583"/>
  <c r="D583"/>
  <c r="C584"/>
  <c r="D584"/>
  <c r="C585"/>
  <c r="D585"/>
  <c r="C586"/>
  <c r="D586"/>
  <c r="C587"/>
  <c r="D587"/>
  <c r="C588"/>
  <c r="D588"/>
  <c r="C589"/>
  <c r="D589"/>
  <c r="C590"/>
  <c r="D590"/>
  <c r="C591"/>
  <c r="D591"/>
  <c r="C592"/>
  <c r="D592"/>
  <c r="C593"/>
  <c r="D593"/>
  <c r="C594"/>
  <c r="D594"/>
  <c r="C595"/>
  <c r="D595"/>
  <c r="C596"/>
  <c r="D596"/>
  <c r="C597"/>
  <c r="D597"/>
  <c r="C598"/>
  <c r="D598"/>
  <c r="C599"/>
  <c r="D599"/>
  <c r="C600"/>
  <c r="D600"/>
  <c r="C601"/>
  <c r="D601"/>
  <c r="C602"/>
  <c r="D602"/>
  <c r="C603"/>
  <c r="D603"/>
  <c r="C604"/>
  <c r="D604"/>
  <c r="C605"/>
  <c r="D605"/>
  <c r="C606"/>
  <c r="D606"/>
  <c r="C607"/>
  <c r="D607"/>
  <c r="C608"/>
  <c r="D608"/>
  <c r="C609"/>
  <c r="D609"/>
  <c r="C610"/>
  <c r="D610"/>
  <c r="C611"/>
  <c r="D611"/>
  <c r="C612"/>
  <c r="D612"/>
  <c r="C613"/>
  <c r="D613"/>
  <c r="C614"/>
  <c r="D614"/>
  <c r="C615"/>
  <c r="D615"/>
  <c r="C616"/>
  <c r="D616"/>
  <c r="C617"/>
  <c r="D617"/>
  <c r="C618"/>
  <c r="D618"/>
  <c r="C619"/>
  <c r="D619"/>
  <c r="C620"/>
  <c r="D620"/>
  <c r="C621"/>
  <c r="D621"/>
  <c r="C622"/>
  <c r="D622"/>
  <c r="C623"/>
  <c r="D623"/>
  <c r="C624"/>
  <c r="D624"/>
  <c r="C625"/>
  <c r="D625"/>
  <c r="C626"/>
  <c r="D626"/>
  <c r="C627"/>
  <c r="D627"/>
  <c r="C628"/>
  <c r="D628"/>
  <c r="C629"/>
  <c r="D629"/>
  <c r="C630"/>
  <c r="D630"/>
  <c r="C631"/>
  <c r="D631"/>
  <c r="C632"/>
  <c r="D632"/>
  <c r="C633"/>
  <c r="D633"/>
  <c r="C634"/>
  <c r="D634"/>
  <c r="C635"/>
  <c r="D635"/>
  <c r="C636"/>
  <c r="D636"/>
  <c r="C637"/>
  <c r="D637"/>
  <c r="C638"/>
  <c r="D638"/>
  <c r="C639"/>
  <c r="D639"/>
  <c r="C640"/>
  <c r="D640"/>
  <c r="C641"/>
  <c r="D641"/>
  <c r="C642"/>
  <c r="D642"/>
  <c r="C643"/>
  <c r="D643"/>
  <c r="C644"/>
  <c r="D644"/>
  <c r="C645"/>
  <c r="D645"/>
  <c r="C646"/>
  <c r="D646"/>
  <c r="C647"/>
  <c r="D647"/>
  <c r="C648"/>
  <c r="D648"/>
  <c r="C649"/>
  <c r="D649"/>
  <c r="C650"/>
  <c r="D650"/>
  <c r="C651"/>
  <c r="D651"/>
  <c r="C652"/>
  <c r="D652"/>
  <c r="C653"/>
  <c r="D653"/>
  <c r="C654"/>
  <c r="D654"/>
  <c r="C655"/>
  <c r="D655"/>
  <c r="C656"/>
  <c r="D656"/>
  <c r="C657"/>
  <c r="D657"/>
  <c r="C658"/>
  <c r="D658"/>
  <c r="C659"/>
  <c r="D659"/>
  <c r="C660"/>
  <c r="D660"/>
  <c r="C661"/>
  <c r="D661"/>
  <c r="C662"/>
  <c r="D662"/>
  <c r="C663"/>
  <c r="D663"/>
  <c r="C664"/>
  <c r="D664"/>
  <c r="C665"/>
  <c r="D665"/>
  <c r="C666"/>
  <c r="D666"/>
  <c r="C667"/>
  <c r="D667"/>
  <c r="C668"/>
  <c r="D668"/>
  <c r="C669"/>
  <c r="D669"/>
  <c r="D670"/>
  <c r="C671"/>
  <c r="D671"/>
  <c r="C672"/>
  <c r="D672"/>
  <c r="C673"/>
  <c r="D673"/>
  <c r="C674"/>
  <c r="D674"/>
  <c r="C675"/>
  <c r="D675"/>
  <c r="C676"/>
  <c r="D676"/>
  <c r="C677"/>
  <c r="D677"/>
  <c r="C678"/>
  <c r="D678"/>
  <c r="C679"/>
  <c r="D679"/>
  <c r="C680"/>
  <c r="D680"/>
  <c r="C681"/>
  <c r="D681"/>
  <c r="C682"/>
  <c r="D682"/>
  <c r="C683"/>
  <c r="D683"/>
  <c r="C684"/>
  <c r="D684"/>
  <c r="C685"/>
  <c r="D685"/>
  <c r="C686"/>
  <c r="D686"/>
  <c r="C687"/>
  <c r="D687"/>
  <c r="C688"/>
  <c r="D688"/>
  <c r="C689"/>
  <c r="D689"/>
  <c r="C690"/>
  <c r="D690"/>
  <c r="C691"/>
  <c r="D691"/>
  <c r="C692"/>
  <c r="D692"/>
  <c r="C693"/>
  <c r="D693"/>
  <c r="C694"/>
  <c r="D694"/>
  <c r="C695"/>
  <c r="D695"/>
  <c r="C696"/>
  <c r="D696"/>
  <c r="C697"/>
  <c r="D697"/>
  <c r="C698"/>
  <c r="D698"/>
  <c r="C699"/>
  <c r="D699"/>
  <c r="C700"/>
  <c r="D700"/>
  <c r="C701"/>
  <c r="D701"/>
  <c r="C702"/>
  <c r="D702"/>
  <c r="C703"/>
  <c r="D703"/>
  <c r="C704"/>
  <c r="D704"/>
  <c r="C705"/>
  <c r="D705"/>
  <c r="C706"/>
  <c r="D706"/>
  <c r="C707"/>
  <c r="D707"/>
  <c r="C708"/>
  <c r="D708"/>
  <c r="C709"/>
  <c r="D709"/>
  <c r="C710"/>
  <c r="D710"/>
  <c r="C711"/>
  <c r="D711"/>
  <c r="C712"/>
  <c r="D712"/>
  <c r="C713"/>
  <c r="D713"/>
  <c r="C714"/>
  <c r="D714"/>
  <c r="D715"/>
  <c r="C716"/>
  <c r="D716"/>
  <c r="C717"/>
  <c r="D717"/>
  <c r="C718"/>
  <c r="D718"/>
  <c r="C719"/>
  <c r="D719"/>
  <c r="C720"/>
  <c r="D720"/>
  <c r="C721"/>
  <c r="D721"/>
  <c r="C722"/>
  <c r="D722"/>
  <c r="C723"/>
  <c r="D723"/>
  <c r="C724"/>
  <c r="D724"/>
  <c r="C725"/>
  <c r="D725"/>
  <c r="C726"/>
  <c r="D726"/>
  <c r="C727"/>
  <c r="D727"/>
  <c r="C728"/>
  <c r="D728"/>
  <c r="C729"/>
  <c r="D729"/>
  <c r="C730"/>
  <c r="D730"/>
  <c r="C731"/>
  <c r="D731"/>
  <c r="C732"/>
  <c r="D732"/>
  <c r="C733"/>
  <c r="D733"/>
  <c r="C734"/>
  <c r="D734"/>
  <c r="C735"/>
  <c r="D735"/>
  <c r="C736"/>
  <c r="D736"/>
  <c r="C737"/>
  <c r="D737"/>
  <c r="C738"/>
  <c r="D738"/>
  <c r="C739"/>
  <c r="D739"/>
  <c r="C740"/>
  <c r="D740"/>
  <c r="C741"/>
  <c r="D741"/>
  <c r="C742"/>
  <c r="D742"/>
  <c r="C743"/>
  <c r="D743"/>
  <c r="C744"/>
  <c r="D744"/>
  <c r="C745"/>
  <c r="D745"/>
  <c r="C746"/>
  <c r="D746"/>
  <c r="C747"/>
  <c r="D747"/>
  <c r="C748"/>
  <c r="D748"/>
  <c r="C749"/>
  <c r="D749"/>
  <c r="C750"/>
  <c r="D750"/>
  <c r="C751"/>
  <c r="D751"/>
  <c r="C752"/>
  <c r="D752"/>
  <c r="D753"/>
  <c r="C754"/>
  <c r="D754"/>
  <c r="C755"/>
  <c r="D755"/>
  <c r="C756"/>
  <c r="D756"/>
  <c r="C757"/>
  <c r="D757"/>
  <c r="C758"/>
  <c r="D758"/>
  <c r="C759"/>
  <c r="D759"/>
  <c r="C760"/>
  <c r="D760"/>
  <c r="C761"/>
  <c r="D761"/>
  <c r="C762"/>
  <c r="D762"/>
  <c r="C763"/>
  <c r="D763"/>
  <c r="C764"/>
  <c r="D764"/>
  <c r="C765"/>
  <c r="D765"/>
  <c r="C766"/>
  <c r="D766"/>
  <c r="C767"/>
  <c r="D767"/>
  <c r="C768"/>
  <c r="D768"/>
  <c r="C769"/>
  <c r="D769"/>
  <c r="C770"/>
  <c r="D770"/>
  <c r="D771"/>
  <c r="C772"/>
  <c r="D772"/>
  <c r="C773"/>
  <c r="D773"/>
  <c r="C774"/>
  <c r="D774"/>
  <c r="C775"/>
  <c r="D775"/>
  <c r="C776"/>
  <c r="D776"/>
  <c r="C777"/>
  <c r="D777"/>
  <c r="C778"/>
  <c r="D778"/>
  <c r="C779"/>
  <c r="D779"/>
  <c r="C780"/>
  <c r="D780"/>
  <c r="C781"/>
  <c r="D781"/>
  <c r="C782"/>
  <c r="D782"/>
  <c r="C783"/>
  <c r="D783"/>
  <c r="C784"/>
  <c r="D784"/>
  <c r="C785"/>
  <c r="D785"/>
  <c r="C786"/>
  <c r="D786"/>
  <c r="C788"/>
  <c r="D788"/>
  <c r="C790"/>
  <c r="D790"/>
  <c r="C791"/>
  <c r="D791"/>
  <c r="C792"/>
  <c r="D792"/>
  <c r="C793"/>
  <c r="D793"/>
  <c r="C794"/>
  <c r="D794"/>
  <c r="C795"/>
  <c r="D795"/>
  <c r="C796"/>
  <c r="D796"/>
  <c r="C797"/>
  <c r="D797"/>
  <c r="C798"/>
  <c r="D798"/>
  <c r="C799"/>
  <c r="D799"/>
  <c r="C800"/>
  <c r="D800"/>
  <c r="C801"/>
  <c r="D801"/>
  <c r="C802"/>
  <c r="D802"/>
  <c r="C803"/>
  <c r="D803"/>
  <c r="C804"/>
  <c r="D804"/>
  <c r="C805"/>
  <c r="D805"/>
  <c r="C806"/>
  <c r="D806"/>
  <c r="C807"/>
  <c r="D807"/>
  <c r="C808"/>
  <c r="D808"/>
  <c r="C809"/>
  <c r="D809"/>
  <c r="D810"/>
  <c r="C811"/>
  <c r="D811"/>
  <c r="C812"/>
  <c r="D812"/>
  <c r="C813"/>
  <c r="D813"/>
  <c r="C814"/>
  <c r="D814"/>
  <c r="C815"/>
  <c r="D815"/>
  <c r="C816"/>
  <c r="D816"/>
  <c r="C817"/>
  <c r="D817"/>
  <c r="C818"/>
  <c r="D818"/>
  <c r="C819"/>
  <c r="D819"/>
  <c r="C820"/>
  <c r="D820"/>
  <c r="C821"/>
  <c r="D821"/>
  <c r="C822"/>
  <c r="D822"/>
  <c r="C823"/>
  <c r="D823"/>
  <c r="C824"/>
  <c r="D824"/>
  <c r="C825"/>
  <c r="D825"/>
  <c r="C826"/>
  <c r="D826"/>
  <c r="C827"/>
  <c r="D827"/>
  <c r="C828"/>
  <c r="D828"/>
  <c r="C829"/>
  <c r="D829"/>
  <c r="C830"/>
  <c r="D830"/>
  <c r="C831"/>
  <c r="D831"/>
  <c r="C832"/>
  <c r="D832"/>
  <c r="C833"/>
  <c r="D833"/>
  <c r="C834"/>
  <c r="D834"/>
  <c r="C835"/>
  <c r="D835"/>
  <c r="C836"/>
  <c r="D836"/>
  <c r="C837"/>
  <c r="D837"/>
  <c r="C838"/>
  <c r="D838"/>
  <c r="C839"/>
  <c r="D839"/>
  <c r="C840"/>
  <c r="D840"/>
  <c r="C841"/>
  <c r="D841"/>
  <c r="C842"/>
  <c r="D842"/>
  <c r="C843"/>
  <c r="D843"/>
  <c r="C844"/>
  <c r="D844"/>
  <c r="C845"/>
  <c r="D845"/>
  <c r="C846"/>
  <c r="D846"/>
  <c r="C847"/>
  <c r="D847"/>
  <c r="C848"/>
  <c r="D848"/>
  <c r="C849"/>
  <c r="D849"/>
  <c r="C850"/>
  <c r="D850"/>
  <c r="C851"/>
  <c r="D851"/>
  <c r="C852"/>
  <c r="D852"/>
  <c r="C853"/>
  <c r="D853"/>
  <c r="C854"/>
  <c r="D854"/>
  <c r="C855"/>
  <c r="D855"/>
  <c r="C856"/>
  <c r="D856"/>
  <c r="C857"/>
  <c r="D857"/>
  <c r="C858"/>
  <c r="D858"/>
  <c r="C859"/>
  <c r="D859"/>
  <c r="C860"/>
  <c r="D860"/>
  <c r="C861"/>
  <c r="D861"/>
  <c r="C862"/>
  <c r="D862"/>
  <c r="C863"/>
  <c r="D863"/>
  <c r="C864"/>
  <c r="D864"/>
  <c r="C865"/>
  <c r="D865"/>
  <c r="C866"/>
  <c r="D866"/>
  <c r="C867"/>
  <c r="D867"/>
  <c r="C868"/>
  <c r="D868"/>
  <c r="C869"/>
  <c r="D869"/>
  <c r="C870"/>
  <c r="D870"/>
  <c r="C871"/>
  <c r="D871"/>
  <c r="C872"/>
  <c r="D872"/>
  <c r="C873"/>
  <c r="D873"/>
  <c r="C874"/>
  <c r="D874"/>
  <c r="C875"/>
  <c r="D875"/>
  <c r="C876"/>
  <c r="D876"/>
  <c r="C877"/>
  <c r="D877"/>
  <c r="C878"/>
  <c r="D878"/>
  <c r="C879"/>
  <c r="D879"/>
  <c r="C880"/>
  <c r="D880"/>
  <c r="C881"/>
  <c r="D881"/>
  <c r="C882"/>
  <c r="D882"/>
  <c r="C883"/>
  <c r="D883"/>
  <c r="C884"/>
  <c r="D884"/>
  <c r="C885"/>
  <c r="D885"/>
  <c r="C886"/>
  <c r="D886"/>
  <c r="C887"/>
  <c r="D887"/>
  <c r="C888"/>
  <c r="D888"/>
  <c r="C889"/>
  <c r="D889"/>
  <c r="C890"/>
  <c r="D890"/>
  <c r="C891"/>
  <c r="D891"/>
  <c r="C892"/>
  <c r="D892"/>
  <c r="C893"/>
  <c r="D893"/>
  <c r="C894"/>
  <c r="D894"/>
  <c r="C895"/>
  <c r="D895"/>
  <c r="C896"/>
  <c r="D896"/>
  <c r="C897"/>
  <c r="D897"/>
  <c r="D898"/>
  <c r="C899"/>
  <c r="D899"/>
  <c r="C900"/>
  <c r="D900"/>
  <c r="C901"/>
  <c r="D901"/>
  <c r="C902"/>
  <c r="D902"/>
  <c r="C903"/>
  <c r="D903"/>
  <c r="C904"/>
  <c r="D904"/>
  <c r="C905"/>
  <c r="D905"/>
  <c r="C906"/>
  <c r="D906"/>
  <c r="C907"/>
  <c r="D907"/>
  <c r="C908"/>
  <c r="D908"/>
  <c r="C909"/>
  <c r="D909"/>
  <c r="C910"/>
  <c r="D910"/>
  <c r="C911"/>
  <c r="D911"/>
  <c r="C912"/>
  <c r="D912"/>
  <c r="C913"/>
  <c r="D913"/>
  <c r="C914"/>
  <c r="D914"/>
  <c r="C915"/>
  <c r="D915"/>
  <c r="C916"/>
  <c r="D916"/>
  <c r="C917"/>
  <c r="D917"/>
  <c r="C918"/>
  <c r="D918"/>
  <c r="C919"/>
  <c r="D919"/>
  <c r="C920"/>
  <c r="D920"/>
  <c r="C921"/>
  <c r="D921"/>
  <c r="C922"/>
  <c r="D922"/>
  <c r="C923"/>
  <c r="D923"/>
  <c r="C924"/>
  <c r="D924"/>
  <c r="C925"/>
  <c r="D925"/>
  <c r="C926"/>
  <c r="D926"/>
  <c r="C927"/>
  <c r="D927"/>
  <c r="C928"/>
  <c r="D928"/>
  <c r="C929"/>
  <c r="D929"/>
  <c r="C930"/>
  <c r="D930"/>
  <c r="C931"/>
  <c r="D931"/>
  <c r="C932"/>
  <c r="D932"/>
  <c r="C933"/>
  <c r="D933"/>
  <c r="C934"/>
  <c r="D934"/>
  <c r="C935"/>
  <c r="D935"/>
  <c r="C936"/>
  <c r="D936"/>
  <c r="C937"/>
  <c r="D937"/>
  <c r="C938"/>
  <c r="D938"/>
  <c r="C939"/>
  <c r="D939"/>
  <c r="C940"/>
  <c r="D940"/>
  <c r="C941"/>
  <c r="D941"/>
  <c r="C942"/>
  <c r="D942"/>
  <c r="C943"/>
  <c r="D943"/>
  <c r="C944"/>
  <c r="D944"/>
  <c r="C945"/>
  <c r="D945"/>
  <c r="C946"/>
  <c r="D946"/>
  <c r="C947"/>
  <c r="D947"/>
  <c r="C948"/>
  <c r="D948"/>
  <c r="C949"/>
  <c r="D949"/>
  <c r="C950"/>
  <c r="D950"/>
  <c r="C951"/>
  <c r="D951"/>
  <c r="C952"/>
  <c r="D952"/>
  <c r="C953"/>
  <c r="D953"/>
  <c r="C954"/>
  <c r="D954"/>
  <c r="C955"/>
  <c r="D955"/>
  <c r="C956"/>
  <c r="D956"/>
  <c r="C957"/>
  <c r="D957"/>
  <c r="C958"/>
  <c r="D958"/>
  <c r="C959"/>
  <c r="D959"/>
  <c r="C960"/>
  <c r="D960"/>
  <c r="C961"/>
  <c r="D961"/>
  <c r="C962"/>
  <c r="D962"/>
  <c r="C963"/>
  <c r="D963"/>
  <c r="C964"/>
  <c r="D964"/>
  <c r="C965"/>
  <c r="D965"/>
  <c r="C966"/>
  <c r="D966"/>
  <c r="C967"/>
  <c r="D967"/>
  <c r="C968"/>
  <c r="D968"/>
  <c r="C969"/>
  <c r="D969"/>
  <c r="C970"/>
  <c r="D970"/>
  <c r="C971"/>
  <c r="D971"/>
  <c r="C972"/>
  <c r="D972"/>
  <c r="C973"/>
  <c r="D973"/>
  <c r="C974"/>
  <c r="D974"/>
  <c r="C975"/>
  <c r="D975"/>
  <c r="C976"/>
  <c r="D976"/>
  <c r="C977"/>
  <c r="D977"/>
  <c r="C978"/>
  <c r="D978"/>
  <c r="C979"/>
  <c r="D979"/>
  <c r="C980"/>
  <c r="D980"/>
  <c r="C981"/>
  <c r="D981"/>
  <c r="C982"/>
  <c r="D982"/>
  <c r="C983"/>
  <c r="D983"/>
  <c r="C984"/>
  <c r="D984"/>
  <c r="C985"/>
  <c r="D985"/>
  <c r="C986"/>
  <c r="D986"/>
  <c r="C987"/>
  <c r="D987"/>
  <c r="C988"/>
  <c r="D988"/>
  <c r="C989"/>
  <c r="D989"/>
  <c r="C990"/>
  <c r="D990"/>
  <c r="C991"/>
  <c r="D991"/>
  <c r="C992"/>
  <c r="D992"/>
  <c r="C993"/>
  <c r="D993"/>
  <c r="C994"/>
  <c r="D994"/>
  <c r="C995"/>
  <c r="D995"/>
  <c r="C996"/>
  <c r="D996"/>
  <c r="C997"/>
  <c r="D997"/>
  <c r="C998"/>
  <c r="D998"/>
  <c r="C999"/>
  <c r="D999"/>
  <c r="C1000"/>
  <c r="D1000"/>
  <c r="C1001"/>
  <c r="D1001"/>
  <c r="C1002"/>
  <c r="D1002"/>
  <c r="C1003"/>
  <c r="D1003"/>
  <c r="C1004"/>
  <c r="D1004"/>
  <c r="C1005"/>
  <c r="D1005"/>
  <c r="C1006"/>
  <c r="D1006"/>
  <c r="C1007"/>
  <c r="D1007"/>
  <c r="C1008"/>
  <c r="D1008"/>
  <c r="C1009"/>
  <c r="D1009"/>
  <c r="C1010"/>
  <c r="D1010"/>
  <c r="C1011"/>
  <c r="D1011"/>
  <c r="C1012"/>
  <c r="D1012"/>
  <c r="C1013"/>
  <c r="D1013"/>
  <c r="C1014"/>
  <c r="D1014"/>
  <c r="C1015"/>
  <c r="D1015"/>
  <c r="C1016"/>
  <c r="D1016"/>
  <c r="C1017"/>
  <c r="D1017"/>
  <c r="C1018"/>
  <c r="D1018"/>
  <c r="C1019"/>
  <c r="D1019"/>
  <c r="C1020"/>
  <c r="D1020"/>
  <c r="C1021"/>
  <c r="D1021"/>
  <c r="C1022"/>
  <c r="D1022"/>
  <c r="C1023"/>
  <c r="D1023"/>
  <c r="C1024"/>
  <c r="D1024"/>
  <c r="C1025"/>
  <c r="D1025"/>
  <c r="C1026"/>
  <c r="D1026"/>
  <c r="C1027"/>
  <c r="D1027"/>
  <c r="C1028"/>
  <c r="D1028"/>
  <c r="C1029"/>
  <c r="D1029"/>
  <c r="C1030"/>
  <c r="D1030"/>
  <c r="C1031"/>
  <c r="D1031"/>
  <c r="D1032"/>
  <c r="C1033"/>
  <c r="D1033"/>
  <c r="C1034"/>
  <c r="D1034"/>
  <c r="C1035"/>
  <c r="D1035"/>
  <c r="C1036"/>
  <c r="D1036"/>
  <c r="C1037"/>
  <c r="D1037"/>
  <c r="C1038"/>
  <c r="D1038"/>
  <c r="C1039"/>
  <c r="D1039"/>
  <c r="C1040"/>
  <c r="D1040"/>
  <c r="D1041"/>
  <c r="C1042"/>
  <c r="D1042"/>
  <c r="D1043"/>
  <c r="C1044"/>
  <c r="D1044"/>
  <c r="C1045"/>
  <c r="D1045"/>
  <c r="C1046"/>
  <c r="D1046"/>
  <c r="C1047"/>
  <c r="D1047"/>
  <c r="C1048"/>
  <c r="D1048"/>
  <c r="C1049"/>
  <c r="D1049"/>
  <c r="C1050"/>
  <c r="D1050"/>
  <c r="C1051"/>
  <c r="D1051"/>
  <c r="C1052"/>
  <c r="D1052"/>
  <c r="C1053"/>
  <c r="D1053"/>
  <c r="C1054"/>
  <c r="D1054"/>
  <c r="C1055"/>
  <c r="D1055"/>
  <c r="C1056"/>
  <c r="D1056"/>
  <c r="C1057"/>
  <c r="D1057"/>
  <c r="D1058"/>
  <c r="C1059"/>
  <c r="D1059"/>
  <c r="C1060"/>
  <c r="D1060"/>
  <c r="C1061"/>
  <c r="D1061"/>
  <c r="C1062"/>
  <c r="D1062"/>
  <c r="C1063"/>
  <c r="D1063"/>
  <c r="C1064"/>
  <c r="D1064"/>
  <c r="C1065"/>
  <c r="D1065"/>
  <c r="C1066"/>
  <c r="D1066"/>
  <c r="C1067"/>
  <c r="D1067"/>
  <c r="C1068"/>
  <c r="D1068"/>
  <c r="C1069"/>
  <c r="D1069"/>
  <c r="C1070"/>
  <c r="D1070"/>
  <c r="C1071"/>
  <c r="D1071"/>
  <c r="C1072"/>
  <c r="D1072"/>
  <c r="C1073"/>
  <c r="D1073"/>
  <c r="C1074"/>
  <c r="D1074"/>
  <c r="C1075"/>
  <c r="D1075"/>
  <c r="C1076"/>
  <c r="D1076"/>
  <c r="C1077"/>
  <c r="D1077"/>
  <c r="C1078"/>
  <c r="D1078"/>
  <c r="C1079"/>
  <c r="D1079"/>
  <c r="C1080"/>
  <c r="D1080"/>
  <c r="C1081"/>
  <c r="D1081"/>
  <c r="C1082"/>
  <c r="D1082"/>
  <c r="C1083"/>
  <c r="D1083"/>
  <c r="C1084"/>
  <c r="D1084"/>
  <c r="C1085"/>
  <c r="D1085"/>
  <c r="C1086"/>
  <c r="D1086"/>
  <c r="C1087"/>
  <c r="D1087"/>
  <c r="C1088"/>
  <c r="D1088"/>
  <c r="C1089"/>
  <c r="D1089"/>
  <c r="C1090"/>
  <c r="D1090"/>
  <c r="C1091"/>
  <c r="D1091"/>
  <c r="C1092"/>
  <c r="D1092"/>
  <c r="C1093"/>
  <c r="D1093"/>
  <c r="C1094"/>
  <c r="D1094"/>
  <c r="C1095"/>
  <c r="D1095"/>
  <c r="C1096"/>
  <c r="D1096"/>
  <c r="C1097"/>
  <c r="D1097"/>
  <c r="C1098"/>
  <c r="D1098"/>
  <c r="C1099"/>
  <c r="D1099"/>
  <c r="C1100"/>
  <c r="D1100"/>
  <c r="C1101"/>
  <c r="D1101"/>
  <c r="C1102"/>
  <c r="D1102"/>
  <c r="C1103"/>
  <c r="D1103"/>
  <c r="C1104"/>
  <c r="D1104"/>
  <c r="C1105"/>
  <c r="D1105"/>
  <c r="C1106"/>
  <c r="D1106"/>
  <c r="C1107"/>
  <c r="D1107"/>
  <c r="C1108"/>
  <c r="D1108"/>
  <c r="C1109"/>
  <c r="D1109"/>
  <c r="C1110"/>
  <c r="D1110"/>
  <c r="C1111"/>
  <c r="D1111"/>
  <c r="C1112"/>
  <c r="D1112"/>
  <c r="C1113"/>
  <c r="D1113"/>
  <c r="C1114"/>
  <c r="D1114"/>
  <c r="C1115"/>
  <c r="D1115"/>
  <c r="C1116"/>
  <c r="D1116"/>
  <c r="C1117"/>
  <c r="D1117"/>
  <c r="C1118"/>
  <c r="D1118"/>
  <c r="D1119"/>
  <c r="C1120"/>
  <c r="D1120"/>
  <c r="C1121"/>
  <c r="D1121"/>
  <c r="C1122"/>
  <c r="D1122"/>
  <c r="C1123"/>
  <c r="D1123"/>
  <c r="C1124"/>
  <c r="D1124"/>
  <c r="C1125"/>
  <c r="D1125"/>
  <c r="C1126"/>
  <c r="D1126"/>
  <c r="C1127"/>
  <c r="D1127"/>
  <c r="C1128"/>
  <c r="D1128"/>
  <c r="C1129"/>
  <c r="D1129"/>
  <c r="C1130"/>
  <c r="D1130"/>
  <c r="C1131"/>
  <c r="D1131"/>
  <c r="C1132"/>
  <c r="D1132"/>
  <c r="C1133"/>
  <c r="D1133"/>
  <c r="C1134"/>
  <c r="D1134"/>
  <c r="C1135"/>
  <c r="D1135"/>
  <c r="C1136"/>
  <c r="D1136"/>
  <c r="C1137"/>
  <c r="D1137"/>
  <c r="C1138"/>
  <c r="D1138"/>
  <c r="C1139"/>
  <c r="D1139"/>
  <c r="C1140"/>
  <c r="D1140"/>
  <c r="C1141"/>
  <c r="D1141"/>
  <c r="C1142"/>
  <c r="D1142"/>
  <c r="C1143"/>
  <c r="D1143"/>
  <c r="C1144"/>
  <c r="D1144"/>
  <c r="C1145"/>
  <c r="D1145"/>
  <c r="C1146"/>
  <c r="D1146"/>
  <c r="C1147"/>
  <c r="D1147"/>
  <c r="C1148"/>
  <c r="D1148"/>
  <c r="C1149"/>
  <c r="D1149"/>
  <c r="C1150"/>
  <c r="D1150"/>
  <c r="C1151"/>
  <c r="D1151"/>
  <c r="C1152"/>
  <c r="D1152"/>
  <c r="C1153"/>
  <c r="D1153"/>
  <c r="C1154"/>
  <c r="D1154"/>
  <c r="C1155"/>
  <c r="D1155"/>
  <c r="C1156"/>
  <c r="D1156"/>
  <c r="C1157"/>
  <c r="D1157"/>
  <c r="C1158"/>
  <c r="D1158"/>
  <c r="C1159"/>
  <c r="D1159"/>
  <c r="C1160"/>
  <c r="D1160"/>
  <c r="C1161"/>
  <c r="D1161"/>
  <c r="C1162"/>
  <c r="D1162"/>
  <c r="C1163"/>
  <c r="D1163"/>
  <c r="C1164"/>
  <c r="D1164"/>
  <c r="C1165"/>
  <c r="D1165"/>
  <c r="C1166"/>
  <c r="D1166"/>
  <c r="C1167"/>
  <c r="D1167"/>
  <c r="C1168"/>
  <c r="D1168"/>
  <c r="C1169"/>
  <c r="D1169"/>
  <c r="C1170"/>
  <c r="D1170"/>
  <c r="C1171"/>
  <c r="D1171"/>
  <c r="C1172"/>
  <c r="D1172"/>
  <c r="C1173"/>
  <c r="D1173"/>
  <c r="C1174"/>
  <c r="D1174"/>
  <c r="C1175"/>
  <c r="D1175"/>
  <c r="C1176"/>
  <c r="D1176"/>
  <c r="D1177"/>
  <c r="C1178"/>
  <c r="D1178"/>
  <c r="C1179"/>
  <c r="D1179"/>
  <c r="C1180"/>
  <c r="D1180"/>
  <c r="C1181"/>
  <c r="D1181"/>
  <c r="C1182"/>
  <c r="D1182"/>
  <c r="C1183"/>
  <c r="D1183"/>
  <c r="C1184"/>
  <c r="D1184"/>
  <c r="C1185"/>
  <c r="D1185"/>
  <c r="C1186"/>
  <c r="D1186"/>
  <c r="C1187"/>
  <c r="D1187"/>
  <c r="C1188"/>
  <c r="D1188"/>
  <c r="C1189"/>
  <c r="D1189"/>
  <c r="C1190"/>
  <c r="D1190"/>
  <c r="C1191"/>
  <c r="D1191"/>
  <c r="C1192"/>
  <c r="D1192"/>
  <c r="C1193"/>
  <c r="D1193"/>
  <c r="C1194"/>
  <c r="D1194"/>
  <c r="C1195"/>
  <c r="D1195"/>
  <c r="C1196"/>
  <c r="D1196"/>
  <c r="C1197"/>
  <c r="D1197"/>
  <c r="C1198"/>
  <c r="D1198"/>
  <c r="C1199"/>
  <c r="D1199"/>
  <c r="C1200"/>
  <c r="D1200"/>
  <c r="C1201"/>
  <c r="D1201"/>
  <c r="C1202"/>
  <c r="D1202"/>
  <c r="C1203"/>
  <c r="D1203"/>
  <c r="C1204"/>
  <c r="D1204"/>
  <c r="C1205"/>
  <c r="D1205"/>
  <c r="C1206"/>
  <c r="D1206"/>
  <c r="C1207"/>
  <c r="D1207"/>
  <c r="C1208"/>
  <c r="D1208"/>
  <c r="C1209"/>
  <c r="D1209"/>
  <c r="C1210"/>
  <c r="D1210"/>
  <c r="C1211"/>
  <c r="D1211"/>
  <c r="C1212"/>
  <c r="D1212"/>
  <c r="C1213"/>
  <c r="D1213"/>
  <c r="C1214"/>
  <c r="D1214"/>
  <c r="C1215"/>
  <c r="D1215"/>
  <c r="C1216"/>
  <c r="D1216"/>
  <c r="C1217"/>
  <c r="D1217"/>
  <c r="C1218"/>
  <c r="D1218"/>
  <c r="C1219"/>
  <c r="D1219"/>
  <c r="C1220"/>
  <c r="D1220"/>
  <c r="C1221"/>
  <c r="D1221"/>
  <c r="C1222"/>
  <c r="D1222"/>
  <c r="C1223"/>
  <c r="D1223"/>
  <c r="C1225"/>
  <c r="D1225"/>
  <c r="C1227"/>
  <c r="D1227"/>
  <c r="C1230"/>
  <c r="D1230"/>
  <c r="C1233"/>
  <c r="D1233"/>
  <c r="C1235"/>
  <c r="D1235"/>
  <c r="C1236"/>
  <c r="D1236"/>
  <c r="C1255"/>
  <c r="D1255"/>
  <c r="C1249"/>
  <c r="D1249"/>
  <c r="C1256"/>
  <c r="D1256"/>
  <c r="C1228"/>
  <c r="D1228"/>
  <c r="C1229"/>
  <c r="D1229"/>
  <c r="C1232"/>
  <c r="D1232"/>
  <c r="C1234"/>
  <c r="D1234"/>
  <c r="C1238"/>
  <c r="D1238"/>
  <c r="C1239"/>
  <c r="D1239"/>
  <c r="C1240"/>
  <c r="D1240"/>
  <c r="C1237"/>
  <c r="D1237"/>
  <c r="C1241"/>
  <c r="D1241"/>
  <c r="C1242"/>
  <c r="D1242"/>
  <c r="C1243"/>
  <c r="D1243"/>
  <c r="C1245"/>
  <c r="D1245"/>
  <c r="C1247"/>
  <c r="D1247"/>
  <c r="C1244"/>
  <c r="D1244"/>
  <c r="C1246"/>
  <c r="D1246"/>
  <c r="C1251"/>
  <c r="D1251"/>
  <c r="C1248"/>
  <c r="D1248"/>
  <c r="C1252"/>
  <c r="D1252"/>
  <c r="C1253"/>
  <c r="D1253"/>
  <c r="C1254"/>
  <c r="D1254"/>
  <c r="C1257"/>
  <c r="D1257"/>
  <c r="C1258"/>
  <c r="D1258"/>
  <c r="C1259"/>
  <c r="D1259"/>
  <c r="C1260"/>
  <c r="D1260"/>
  <c r="C1261"/>
  <c r="D1261"/>
  <c r="C1262"/>
  <c r="D1262"/>
  <c r="C1263"/>
  <c r="D1263"/>
  <c r="C1264"/>
  <c r="D1264"/>
  <c r="C1265"/>
  <c r="D1265"/>
  <c r="C1266"/>
  <c r="D1266"/>
  <c r="C1267"/>
  <c r="D1267"/>
  <c r="C1269"/>
  <c r="D1269"/>
  <c r="C1270"/>
  <c r="D1270"/>
  <c r="C1271"/>
  <c r="D1271"/>
  <c r="C1272"/>
  <c r="D1272"/>
  <c r="C1273"/>
  <c r="D1273"/>
  <c r="C1274"/>
  <c r="D1274"/>
  <c r="C1275"/>
  <c r="D1275"/>
  <c r="C1276"/>
  <c r="D1276"/>
  <c r="C1277"/>
  <c r="D1277"/>
  <c r="C1278"/>
  <c r="D1278"/>
  <c r="C1279"/>
  <c r="D1279"/>
  <c r="C1280"/>
  <c r="D1280"/>
  <c r="C1281"/>
  <c r="D1281"/>
  <c r="C1282"/>
  <c r="D1282"/>
  <c r="C1283"/>
  <c r="D1283"/>
  <c r="C1268"/>
  <c r="D1268"/>
  <c r="C1284"/>
  <c r="D1284"/>
  <c r="C1286"/>
  <c r="D1286"/>
  <c r="C1287"/>
  <c r="D1287"/>
  <c r="C1288"/>
  <c r="D1288"/>
  <c r="C1292"/>
  <c r="D1292"/>
  <c r="C1289"/>
  <c r="D1289"/>
  <c r="C1290"/>
  <c r="D1290"/>
  <c r="C1291"/>
  <c r="D1291"/>
  <c r="C1293"/>
  <c r="D1293"/>
  <c r="C1294"/>
  <c r="D1294"/>
  <c r="C1295"/>
  <c r="D1295"/>
  <c r="C1297"/>
  <c r="D1297"/>
  <c r="C1298"/>
  <c r="D1298"/>
  <c r="C1299"/>
  <c r="D1299"/>
  <c r="D1302"/>
  <c r="Q1286"/>
  <c r="Q1287"/>
  <c r="Q1288"/>
  <c r="Q1292"/>
  <c r="Q1289"/>
  <c r="Q1290"/>
  <c r="Q1291"/>
  <c r="Q1293"/>
  <c r="Q1294"/>
  <c r="Q1295"/>
  <c r="Q1296"/>
  <c r="Q1297"/>
  <c r="Q1298"/>
  <c r="Q1299"/>
  <c r="Q1302"/>
  <c r="Q1303"/>
  <c r="Q1300"/>
  <c r="Q1305"/>
  <c r="Q1306"/>
  <c r="Q1307"/>
  <c r="Q1308"/>
  <c r="Q1309"/>
  <c r="Q1310"/>
  <c r="Q1311"/>
  <c r="Q1312"/>
  <c r="Q1313"/>
  <c r="Q1314"/>
  <c r="Q1315"/>
  <c r="Q1316"/>
  <c r="Q1317"/>
  <c r="Q1318"/>
  <c r="Q1319"/>
  <c r="Q1320"/>
  <c r="Q1321"/>
  <c r="Q1322"/>
  <c r="Q1323"/>
  <c r="Q1324"/>
  <c r="Q1325"/>
  <c r="Q1326"/>
  <c r="E1293"/>
  <c r="E1291"/>
  <c r="E1289"/>
  <c r="E1290"/>
  <c r="E1292"/>
  <c r="E1288"/>
  <c r="E1286"/>
  <c r="E1287"/>
  <c r="E1284"/>
  <c r="E1268"/>
  <c r="E1283"/>
  <c r="E1225"/>
  <c r="E1227"/>
  <c r="E1230"/>
  <c r="E1233"/>
  <c r="E1235"/>
  <c r="E1236"/>
  <c r="E1255"/>
  <c r="E1249"/>
  <c r="E1256"/>
  <c r="E1228"/>
  <c r="E1229"/>
  <c r="E1232"/>
  <c r="E1234"/>
  <c r="E1238"/>
  <c r="E1239"/>
  <c r="E1240"/>
  <c r="E1237"/>
  <c r="E1241"/>
  <c r="E1242"/>
  <c r="E1243"/>
  <c r="E1245"/>
  <c r="E1247"/>
  <c r="E1244"/>
  <c r="E1246"/>
  <c r="E1250"/>
  <c r="E1251"/>
  <c r="E1248"/>
  <c r="E1252"/>
  <c r="E1253"/>
  <c r="E1254"/>
  <c r="E1257"/>
  <c r="E1258"/>
  <c r="E1259"/>
  <c r="E1260"/>
  <c r="E1261"/>
  <c r="E1262"/>
  <c r="E1263"/>
  <c r="E1264"/>
  <c r="E1265"/>
  <c r="E1266"/>
  <c r="E1267"/>
  <c r="E1269"/>
  <c r="E1270"/>
  <c r="E1271"/>
  <c r="E1272"/>
  <c r="E1273"/>
  <c r="E1274"/>
  <c r="E1275"/>
  <c r="E1276"/>
  <c r="E1277"/>
  <c r="E1278"/>
  <c r="E1279"/>
  <c r="E1280"/>
  <c r="E1281"/>
  <c r="E1282"/>
  <c r="F1282"/>
  <c r="R1283"/>
  <c r="Q1283"/>
  <c r="R1282"/>
  <c r="Q1282"/>
  <c r="R1281"/>
  <c r="Q1281"/>
  <c r="R1280"/>
  <c r="Q1280"/>
  <c r="R1279"/>
  <c r="Q1279"/>
  <c r="R1278"/>
  <c r="Q1278"/>
  <c r="R1276"/>
  <c r="Q1276"/>
  <c r="R1275"/>
  <c r="Q1275"/>
  <c r="R1274"/>
  <c r="Q1274"/>
  <c r="R1273"/>
  <c r="Q1273"/>
  <c r="R1272"/>
  <c r="Q1272"/>
  <c r="R1271"/>
  <c r="Q1271"/>
  <c r="R1270"/>
  <c r="Q1270"/>
  <c r="R1269"/>
  <c r="Q1269"/>
  <c r="R1267"/>
  <c r="Q1267"/>
  <c r="R1266"/>
  <c r="Q1266"/>
  <c r="R1265"/>
  <c r="Q1265"/>
  <c r="R1264"/>
  <c r="Q1264"/>
  <c r="R1263"/>
  <c r="Q1263"/>
  <c r="R1262"/>
  <c r="Q1262"/>
  <c r="R1261"/>
  <c r="Q1261"/>
  <c r="R1260"/>
  <c r="Q1260"/>
  <c r="R1259"/>
  <c r="Q1259"/>
  <c r="R1258"/>
  <c r="Q1258"/>
  <c r="R1257"/>
  <c r="Q1257"/>
  <c r="R1254"/>
  <c r="Q1254"/>
  <c r="R1253"/>
  <c r="Q1253"/>
  <c r="R1252"/>
  <c r="Q1252"/>
  <c r="R1248"/>
  <c r="Q1248"/>
  <c r="R1251"/>
  <c r="Q1251"/>
  <c r="R1250"/>
  <c r="Q1250"/>
  <c r="R1246"/>
  <c r="Q1246"/>
  <c r="R1244"/>
  <c r="Q1244"/>
  <c r="R1247"/>
  <c r="Q1247"/>
  <c r="R1245"/>
  <c r="Q1245"/>
  <c r="R1243"/>
  <c r="Q1243"/>
  <c r="R1242"/>
  <c r="Q1242"/>
  <c r="R1241"/>
  <c r="Q1241"/>
  <c r="R1237"/>
  <c r="Q1237"/>
  <c r="R1240"/>
  <c r="Q1240"/>
  <c r="R1239"/>
  <c r="Q1239"/>
  <c r="R1238"/>
  <c r="Q1238"/>
  <c r="R1234"/>
  <c r="Q1234"/>
  <c r="R1232"/>
  <c r="Q1232"/>
  <c r="R1228"/>
  <c r="Q1228"/>
  <c r="R1256"/>
  <c r="Q1256"/>
  <c r="R1249"/>
  <c r="Q1249"/>
  <c r="R1255"/>
  <c r="Q1255"/>
  <c r="R1236"/>
  <c r="Q1236"/>
  <c r="R1235"/>
  <c r="Q1235"/>
  <c r="R1233"/>
  <c r="Q1233"/>
  <c r="R1230"/>
  <c r="Q1230"/>
  <c r="R1227"/>
  <c r="Q1227"/>
  <c r="R1225"/>
  <c r="Q1225"/>
  <c r="Q6"/>
  <c r="Q7"/>
  <c r="Q8"/>
  <c r="Q9"/>
  <c r="Q10"/>
  <c r="Q11"/>
  <c r="Q12"/>
  <c r="Q13"/>
  <c r="Q14"/>
  <c r="Q15"/>
  <c r="Q16"/>
  <c r="Q17"/>
  <c r="Q18"/>
  <c r="Q19"/>
  <c r="Q20"/>
  <c r="Q21"/>
  <c r="Q22"/>
  <c r="Q23"/>
  <c r="Q24"/>
  <c r="Q25"/>
  <c r="Q26"/>
  <c r="Q27"/>
  <c r="Q28"/>
  <c r="Q29"/>
  <c r="Q30"/>
  <c r="Q31"/>
  <c r="Q32"/>
  <c r="Q33"/>
  <c r="Q34"/>
  <c r="Q35"/>
  <c r="Q36"/>
  <c r="Q37"/>
  <c r="Q38"/>
  <c r="Q39"/>
  <c r="Q40"/>
  <c r="Q41"/>
  <c r="Q42"/>
  <c r="Q43"/>
  <c r="Q44"/>
  <c r="Q45"/>
  <c r="Q46"/>
  <c r="Q47"/>
  <c r="Q48"/>
  <c r="Q49"/>
  <c r="Q50"/>
  <c r="Q51"/>
  <c r="Q52"/>
  <c r="Q53"/>
  <c r="Q54"/>
  <c r="Q55"/>
  <c r="Q56"/>
  <c r="Q57"/>
  <c r="Q58"/>
  <c r="Q59"/>
  <c r="Q60"/>
  <c r="Q61"/>
  <c r="Q62"/>
  <c r="Q63"/>
  <c r="Q64"/>
  <c r="Q65"/>
  <c r="Q66"/>
  <c r="Q67"/>
  <c r="Q68"/>
  <c r="Q69"/>
  <c r="Q70"/>
  <c r="Q71"/>
  <c r="Q72"/>
  <c r="Q73"/>
  <c r="Q74"/>
  <c r="Q75"/>
  <c r="Q76"/>
  <c r="Q77"/>
  <c r="Q78"/>
  <c r="Q79"/>
  <c r="Q80"/>
  <c r="Q81"/>
  <c r="Q82"/>
  <c r="Q83"/>
  <c r="Q84"/>
  <c r="Q85"/>
  <c r="Q86"/>
  <c r="Q87"/>
  <c r="Q88"/>
  <c r="Q89"/>
  <c r="Q90"/>
  <c r="Q91"/>
  <c r="Q92"/>
  <c r="Q93"/>
  <c r="Q94"/>
  <c r="Q95"/>
  <c r="Q96"/>
  <c r="Q97"/>
  <c r="Q98"/>
  <c r="Q99"/>
  <c r="Q100"/>
  <c r="Q101"/>
  <c r="Q102"/>
  <c r="Q103"/>
  <c r="Q104"/>
  <c r="Q105"/>
  <c r="Q106"/>
  <c r="Q107"/>
  <c r="Q108"/>
  <c r="Q109"/>
  <c r="Q110"/>
  <c r="Q111"/>
  <c r="Q112"/>
  <c r="Q113"/>
  <c r="Q114"/>
  <c r="Q115"/>
  <c r="Q116"/>
  <c r="Q117"/>
  <c r="Q118"/>
  <c r="Q119"/>
  <c r="Q120"/>
  <c r="Q121"/>
  <c r="Q122"/>
  <c r="Q123"/>
  <c r="Q124"/>
  <c r="Q125"/>
  <c r="Q126"/>
  <c r="Q127"/>
  <c r="Q128"/>
  <c r="Q129"/>
  <c r="Q130"/>
  <c r="Q131"/>
  <c r="Q132"/>
  <c r="Q133"/>
  <c r="Q134"/>
  <c r="Q135"/>
  <c r="Q136"/>
  <c r="Q137"/>
  <c r="Q138"/>
  <c r="Q139"/>
  <c r="Q140"/>
  <c r="Q141"/>
  <c r="Q142"/>
  <c r="Q143"/>
  <c r="Q144"/>
  <c r="Q145"/>
  <c r="Q146"/>
  <c r="Q147"/>
  <c r="Q148"/>
  <c r="Q149"/>
  <c r="Q150"/>
  <c r="Q151"/>
  <c r="Q152"/>
  <c r="Q153"/>
  <c r="Q154"/>
  <c r="Q155"/>
  <c r="Q156"/>
  <c r="Q157"/>
  <c r="Q158"/>
  <c r="Q159"/>
  <c r="Q160"/>
  <c r="Q161"/>
  <c r="Q162"/>
  <c r="Q163"/>
  <c r="Q164"/>
  <c r="Q165"/>
  <c r="Q166"/>
  <c r="Q167"/>
  <c r="Q168"/>
  <c r="Q169"/>
  <c r="Q170"/>
  <c r="Q171"/>
  <c r="Q172"/>
  <c r="Q173"/>
  <c r="Q174"/>
  <c r="Q175"/>
  <c r="Q176"/>
  <c r="Q177"/>
  <c r="Q178"/>
  <c r="Q179"/>
  <c r="Q180"/>
  <c r="Q181"/>
  <c r="Q182"/>
  <c r="Q183"/>
  <c r="Q184"/>
  <c r="Q185"/>
  <c r="Q186"/>
  <c r="Q187"/>
  <c r="Q188"/>
  <c r="Q189"/>
  <c r="Q190"/>
  <c r="Q191"/>
  <c r="Q192"/>
  <c r="Q193"/>
  <c r="Q194"/>
  <c r="Q195"/>
  <c r="Q196"/>
  <c r="Q197"/>
  <c r="Q198"/>
  <c r="Q199"/>
  <c r="Q200"/>
  <c r="Q201"/>
  <c r="Q202"/>
  <c r="Q203"/>
  <c r="Q204"/>
  <c r="Q205"/>
  <c r="Q206"/>
  <c r="Q207"/>
  <c r="Q208"/>
  <c r="Q209"/>
  <c r="Q210"/>
  <c r="Q211"/>
  <c r="Q212"/>
  <c r="Q213"/>
  <c r="Q214"/>
  <c r="Q215"/>
  <c r="Q216"/>
  <c r="Q217"/>
  <c r="Q218"/>
  <c r="Q219"/>
  <c r="Q220"/>
  <c r="Q221"/>
  <c r="Q222"/>
  <c r="Q223"/>
  <c r="Q224"/>
  <c r="Q225"/>
  <c r="Q226"/>
  <c r="Q227"/>
  <c r="Q228"/>
  <c r="Q229"/>
  <c r="Q230"/>
  <c r="Q231"/>
  <c r="Q232"/>
  <c r="Q233"/>
  <c r="Q234"/>
  <c r="Q235"/>
  <c r="Q236"/>
  <c r="Q237"/>
  <c r="Q238"/>
  <c r="Q239"/>
  <c r="Q240"/>
  <c r="Q241"/>
  <c r="Q242"/>
  <c r="Q243"/>
  <c r="Q244"/>
  <c r="Q245"/>
  <c r="Q246"/>
  <c r="Q247"/>
  <c r="Q248"/>
  <c r="Q249"/>
  <c r="Q250"/>
  <c r="Q251"/>
  <c r="Q252"/>
  <c r="Q253"/>
  <c r="Q254"/>
  <c r="Q255"/>
  <c r="Q256"/>
  <c r="Q257"/>
  <c r="Q258"/>
  <c r="Q259"/>
  <c r="Q260"/>
  <c r="Q261"/>
  <c r="Q262"/>
  <c r="Q263"/>
  <c r="Q264"/>
  <c r="Q265"/>
  <c r="Q266"/>
  <c r="Q267"/>
  <c r="Q268"/>
  <c r="Q269"/>
  <c r="Q270"/>
  <c r="Q271"/>
  <c r="Q272"/>
  <c r="Q273"/>
  <c r="Q274"/>
  <c r="Q275"/>
  <c r="Q276"/>
  <c r="Q277"/>
  <c r="Q278"/>
  <c r="Q279"/>
  <c r="Q280"/>
  <c r="Q281"/>
  <c r="Q282"/>
  <c r="Q283"/>
  <c r="Q284"/>
  <c r="Q285"/>
  <c r="Q286"/>
  <c r="Q287"/>
  <c r="Q288"/>
  <c r="Q289"/>
  <c r="Q290"/>
  <c r="Q291"/>
  <c r="Q292"/>
  <c r="Q293"/>
  <c r="Q294"/>
  <c r="Q295"/>
  <c r="Q296"/>
  <c r="Q297"/>
  <c r="Q298"/>
  <c r="Q299"/>
  <c r="Q300"/>
  <c r="Q301"/>
  <c r="Q302"/>
  <c r="Q303"/>
  <c r="Q304"/>
  <c r="Q305"/>
  <c r="Q306"/>
  <c r="Q307"/>
  <c r="Q308"/>
  <c r="Q309"/>
  <c r="Q310"/>
  <c r="Q311"/>
  <c r="Q312"/>
  <c r="Q313"/>
  <c r="Q314"/>
  <c r="Q315"/>
  <c r="Q316"/>
  <c r="Q317"/>
  <c r="Q318"/>
  <c r="Q319"/>
  <c r="Q320"/>
  <c r="Q321"/>
  <c r="Q322"/>
  <c r="Q323"/>
  <c r="Q324"/>
  <c r="Q325"/>
  <c r="Q326"/>
  <c r="Q327"/>
  <c r="Q328"/>
  <c r="Q329"/>
  <c r="Q330"/>
  <c r="Q331"/>
  <c r="Q332"/>
  <c r="Q333"/>
  <c r="Q334"/>
  <c r="Q335"/>
  <c r="Q336"/>
  <c r="Q337"/>
  <c r="Q338"/>
  <c r="Q339"/>
  <c r="Q340"/>
  <c r="Q341"/>
  <c r="Q342"/>
  <c r="Q343"/>
  <c r="Q344"/>
  <c r="Q345"/>
  <c r="Q346"/>
  <c r="Q347"/>
  <c r="Q348"/>
  <c r="Q349"/>
  <c r="Q350"/>
  <c r="Q351"/>
  <c r="Q352"/>
  <c r="Q353"/>
  <c r="Q354"/>
  <c r="Q355"/>
  <c r="Q356"/>
  <c r="Q357"/>
  <c r="Q358"/>
  <c r="Q359"/>
  <c r="Q360"/>
  <c r="Q361"/>
  <c r="Q362"/>
  <c r="Q363"/>
  <c r="Q364"/>
  <c r="Q365"/>
  <c r="Q366"/>
  <c r="Q367"/>
  <c r="Q368"/>
  <c r="Q369"/>
  <c r="Q370"/>
  <c r="Q371"/>
  <c r="Q372"/>
  <c r="Q373"/>
  <c r="Q374"/>
  <c r="Q375"/>
  <c r="Q376"/>
  <c r="Q377"/>
  <c r="Q378"/>
  <c r="Q379"/>
  <c r="Q380"/>
  <c r="Q381"/>
  <c r="Q382"/>
  <c r="Q383"/>
  <c r="Q384"/>
  <c r="Q385"/>
  <c r="Q386"/>
  <c r="Q387"/>
  <c r="Q388"/>
  <c r="Q389"/>
  <c r="Q390"/>
  <c r="Q391"/>
  <c r="Q392"/>
  <c r="Q393"/>
  <c r="Q394"/>
  <c r="Q395"/>
  <c r="Q396"/>
  <c r="Q397"/>
  <c r="Q398"/>
  <c r="Q399"/>
  <c r="Q400"/>
  <c r="Q401"/>
  <c r="Q402"/>
  <c r="Q403"/>
  <c r="Q404"/>
  <c r="Q405"/>
  <c r="Q406"/>
  <c r="Q407"/>
  <c r="Q408"/>
  <c r="Q409"/>
  <c r="Q410"/>
  <c r="Q411"/>
  <c r="Q412"/>
  <c r="Q413"/>
  <c r="Q414"/>
  <c r="Q415"/>
  <c r="Q416"/>
  <c r="Q417"/>
  <c r="Q418"/>
  <c r="Q419"/>
  <c r="Q420"/>
  <c r="Q421"/>
  <c r="Q422"/>
  <c r="Q423"/>
  <c r="Q424"/>
  <c r="Q425"/>
  <c r="Q426"/>
  <c r="Q427"/>
  <c r="Q428"/>
  <c r="Q429"/>
  <c r="Q430"/>
  <c r="Q431"/>
  <c r="Q432"/>
  <c r="Q433"/>
  <c r="Q434"/>
  <c r="Q435"/>
  <c r="Q436"/>
  <c r="Q437"/>
  <c r="Q438"/>
  <c r="Q439"/>
  <c r="Q440"/>
  <c r="Q441"/>
  <c r="Q442"/>
  <c r="Q443"/>
  <c r="Q444"/>
  <c r="Q445"/>
  <c r="Q446"/>
  <c r="Q447"/>
  <c r="Q448"/>
  <c r="Q449"/>
  <c r="Q450"/>
  <c r="Q451"/>
  <c r="Q452"/>
  <c r="Q453"/>
  <c r="Q454"/>
  <c r="Q455"/>
  <c r="Q456"/>
  <c r="Q457"/>
  <c r="Q458"/>
  <c r="Q459"/>
  <c r="Q460"/>
  <c r="Q461"/>
  <c r="Q462"/>
  <c r="Q463"/>
  <c r="Q464"/>
  <c r="Q465"/>
  <c r="Q466"/>
  <c r="Q467"/>
  <c r="Q468"/>
  <c r="Q469"/>
  <c r="Q470"/>
  <c r="Q471"/>
  <c r="Q472"/>
  <c r="Q473"/>
  <c r="Q474"/>
  <c r="Q475"/>
  <c r="Q476"/>
  <c r="Q477"/>
  <c r="Q478"/>
  <c r="Q479"/>
  <c r="Q480"/>
  <c r="Q481"/>
  <c r="Q482"/>
  <c r="Q483"/>
  <c r="Q484"/>
  <c r="Q485"/>
  <c r="Q486"/>
  <c r="Q487"/>
  <c r="Q488"/>
  <c r="Q489"/>
  <c r="Q490"/>
  <c r="Q491"/>
  <c r="Q492"/>
  <c r="Q493"/>
  <c r="Q494"/>
  <c r="Q495"/>
  <c r="Q496"/>
  <c r="Q497"/>
  <c r="Q498"/>
  <c r="Q499"/>
  <c r="Q500"/>
  <c r="Q501"/>
  <c r="Q502"/>
  <c r="Q503"/>
  <c r="Q504"/>
  <c r="Q505"/>
  <c r="Q506"/>
  <c r="Q507"/>
  <c r="Q508"/>
  <c r="Q509"/>
  <c r="Q510"/>
  <c r="Q511"/>
  <c r="Q512"/>
  <c r="Q513"/>
  <c r="Q514"/>
  <c r="Q515"/>
  <c r="Q516"/>
  <c r="Q517"/>
  <c r="Q518"/>
  <c r="Q519"/>
  <c r="Q520"/>
  <c r="Q521"/>
  <c r="Q522"/>
  <c r="Q523"/>
  <c r="Q524"/>
  <c r="Q525"/>
  <c r="Q526"/>
  <c r="Q527"/>
  <c r="Q528"/>
  <c r="Q529"/>
  <c r="Q530"/>
  <c r="Q531"/>
  <c r="Q532"/>
  <c r="Q533"/>
  <c r="Q534"/>
  <c r="Q535"/>
  <c r="Q536"/>
  <c r="Q537"/>
  <c r="Q538"/>
  <c r="Q539"/>
  <c r="Q540"/>
  <c r="Q541"/>
  <c r="Q542"/>
  <c r="Q543"/>
  <c r="Q544"/>
  <c r="Q545"/>
  <c r="Q546"/>
  <c r="Q547"/>
  <c r="Q548"/>
  <c r="Q549"/>
  <c r="Q550"/>
  <c r="Q551"/>
  <c r="Q552"/>
  <c r="Q553"/>
  <c r="Q554"/>
  <c r="Q555"/>
  <c r="Q556"/>
  <c r="Q557"/>
  <c r="Q558"/>
  <c r="Q559"/>
  <c r="Q560"/>
  <c r="Q561"/>
  <c r="Q562"/>
  <c r="Q563"/>
  <c r="Q564"/>
  <c r="Q565"/>
  <c r="Q566"/>
  <c r="Q567"/>
  <c r="Q568"/>
  <c r="Q569"/>
  <c r="Q570"/>
  <c r="Q571"/>
  <c r="Q572"/>
  <c r="Q573"/>
  <c r="Q574"/>
  <c r="Q575"/>
  <c r="Q576"/>
  <c r="Q577"/>
  <c r="Q578"/>
  <c r="Q579"/>
  <c r="Q580"/>
  <c r="Q581"/>
  <c r="Q582"/>
  <c r="Q583"/>
  <c r="Q584"/>
  <c r="Q585"/>
  <c r="Q586"/>
  <c r="Q587"/>
  <c r="Q588"/>
  <c r="Q589"/>
  <c r="Q590"/>
  <c r="Q591"/>
  <c r="Q592"/>
  <c r="Q593"/>
  <c r="Q594"/>
  <c r="Q595"/>
  <c r="Q596"/>
  <c r="Q597"/>
  <c r="Q598"/>
  <c r="Q599"/>
  <c r="Q600"/>
  <c r="Q601"/>
  <c r="Q602"/>
  <c r="Q603"/>
  <c r="Q604"/>
  <c r="Q605"/>
  <c r="Q606"/>
  <c r="Q607"/>
  <c r="Q608"/>
  <c r="Q609"/>
  <c r="Q610"/>
  <c r="Q611"/>
  <c r="Q612"/>
  <c r="Q613"/>
  <c r="Q614"/>
  <c r="Q615"/>
  <c r="Q616"/>
  <c r="Q617"/>
  <c r="Q618"/>
  <c r="Q619"/>
  <c r="Q620"/>
  <c r="Q621"/>
  <c r="Q622"/>
  <c r="Q623"/>
  <c r="Q624"/>
  <c r="Q625"/>
  <c r="Q626"/>
  <c r="Q627"/>
  <c r="Q628"/>
  <c r="Q629"/>
  <c r="Q630"/>
  <c r="Q631"/>
  <c r="Q632"/>
  <c r="Q633"/>
  <c r="Q634"/>
  <c r="Q635"/>
  <c r="Q636"/>
  <c r="Q637"/>
  <c r="Q638"/>
  <c r="Q639"/>
  <c r="Q640"/>
  <c r="Q641"/>
  <c r="Q642"/>
  <c r="Q643"/>
  <c r="Q644"/>
  <c r="Q645"/>
  <c r="Q646"/>
  <c r="Q647"/>
  <c r="Q648"/>
  <c r="Q649"/>
  <c r="Q650"/>
  <c r="Q651"/>
  <c r="Q652"/>
  <c r="Q653"/>
  <c r="Q654"/>
  <c r="Q655"/>
  <c r="Q656"/>
  <c r="Q657"/>
  <c r="Q658"/>
  <c r="Q659"/>
  <c r="Q660"/>
  <c r="Q661"/>
  <c r="Q662"/>
  <c r="Q663"/>
  <c r="Q664"/>
  <c r="Q665"/>
  <c r="Q666"/>
  <c r="Q667"/>
  <c r="Q668"/>
  <c r="Q669"/>
  <c r="Q670"/>
  <c r="Q671"/>
  <c r="Q672"/>
  <c r="Q673"/>
  <c r="Q674"/>
  <c r="Q675"/>
  <c r="Q676"/>
  <c r="Q677"/>
  <c r="Q678"/>
  <c r="Q679"/>
  <c r="Q680"/>
  <c r="Q681"/>
  <c r="Q682"/>
  <c r="Q683"/>
  <c r="Q684"/>
  <c r="Q685"/>
  <c r="Q686"/>
  <c r="Q687"/>
  <c r="Q688"/>
  <c r="Q689"/>
  <c r="Q690"/>
  <c r="Q691"/>
  <c r="Q692"/>
  <c r="Q693"/>
  <c r="Q694"/>
  <c r="Q695"/>
  <c r="Q696"/>
  <c r="Q697"/>
  <c r="Q698"/>
  <c r="Q699"/>
  <c r="Q700"/>
  <c r="Q701"/>
  <c r="Q702"/>
  <c r="Q703"/>
  <c r="Q704"/>
  <c r="Q705"/>
  <c r="Q706"/>
  <c r="Q707"/>
  <c r="Q708"/>
  <c r="Q709"/>
  <c r="Q710"/>
  <c r="Q711"/>
  <c r="Q712"/>
  <c r="Q713"/>
  <c r="Q714"/>
  <c r="Q715"/>
  <c r="Q716"/>
  <c r="Q717"/>
  <c r="Q718"/>
  <c r="Q719"/>
  <c r="Q720"/>
  <c r="Q721"/>
  <c r="Q722"/>
  <c r="Q723"/>
  <c r="Q724"/>
  <c r="Q725"/>
  <c r="Q726"/>
  <c r="Q727"/>
  <c r="Q728"/>
  <c r="Q729"/>
  <c r="Q730"/>
  <c r="Q731"/>
  <c r="Q732"/>
  <c r="Q733"/>
  <c r="Q734"/>
  <c r="Q735"/>
  <c r="Q736"/>
  <c r="Q737"/>
  <c r="Q738"/>
  <c r="Q739"/>
  <c r="Q740"/>
  <c r="Q741"/>
  <c r="Q742"/>
  <c r="Q743"/>
  <c r="Q744"/>
  <c r="Q745"/>
  <c r="Q746"/>
  <c r="Q747"/>
  <c r="Q748"/>
  <c r="Q749"/>
  <c r="Q750"/>
  <c r="Q751"/>
  <c r="Q752"/>
  <c r="Q753"/>
  <c r="Q754"/>
  <c r="Q755"/>
  <c r="Q756"/>
  <c r="Q757"/>
  <c r="Q758"/>
  <c r="Q759"/>
  <c r="Q760"/>
  <c r="Q761"/>
  <c r="Q762"/>
  <c r="Q763"/>
  <c r="Q764"/>
  <c r="Q765"/>
  <c r="Q766"/>
  <c r="Q767"/>
  <c r="Q768"/>
  <c r="Q769"/>
  <c r="Q770"/>
  <c r="Q771"/>
  <c r="Q772"/>
  <c r="Q773"/>
  <c r="Q774"/>
  <c r="Q775"/>
  <c r="Q776"/>
  <c r="Q777"/>
  <c r="Q778"/>
  <c r="Q779"/>
  <c r="Q780"/>
  <c r="Q781"/>
  <c r="Q782"/>
  <c r="Q783"/>
  <c r="Q784"/>
  <c r="Q785"/>
  <c r="Q786"/>
  <c r="Q787"/>
  <c r="Q788"/>
  <c r="Q789"/>
  <c r="Q790"/>
  <c r="Q791"/>
  <c r="Q792"/>
  <c r="Q793"/>
  <c r="Q794"/>
  <c r="Q795"/>
  <c r="Q796"/>
  <c r="Q797"/>
  <c r="Q798"/>
  <c r="Q799"/>
  <c r="Q800"/>
  <c r="Q801"/>
  <c r="Q802"/>
  <c r="Q803"/>
  <c r="Q804"/>
  <c r="Q805"/>
  <c r="Q806"/>
  <c r="Q807"/>
  <c r="Q808"/>
  <c r="Q809"/>
  <c r="Q810"/>
  <c r="Q811"/>
  <c r="Q812"/>
  <c r="Q813"/>
  <c r="Q814"/>
  <c r="Q815"/>
  <c r="Q816"/>
  <c r="Q817"/>
  <c r="Q818"/>
  <c r="Q819"/>
  <c r="Q820"/>
  <c r="Q821"/>
  <c r="Q822"/>
  <c r="Q823"/>
  <c r="Q824"/>
  <c r="Q825"/>
  <c r="Q826"/>
  <c r="Q827"/>
  <c r="Q828"/>
  <c r="Q829"/>
  <c r="Q830"/>
  <c r="Q831"/>
  <c r="Q832"/>
  <c r="Q833"/>
  <c r="Q834"/>
  <c r="Q835"/>
  <c r="Q836"/>
  <c r="Q837"/>
  <c r="Q838"/>
  <c r="Q839"/>
  <c r="Q840"/>
  <c r="Q841"/>
  <c r="Q842"/>
  <c r="Q843"/>
  <c r="Q844"/>
  <c r="Q845"/>
  <c r="Q846"/>
  <c r="Q847"/>
  <c r="Q848"/>
  <c r="Q849"/>
  <c r="Q850"/>
  <c r="Q851"/>
  <c r="Q852"/>
  <c r="Q853"/>
  <c r="Q854"/>
  <c r="Q855"/>
  <c r="Q856"/>
  <c r="Q857"/>
  <c r="Q858"/>
  <c r="Q859"/>
  <c r="Q860"/>
  <c r="Q861"/>
  <c r="Q862"/>
  <c r="Q863"/>
  <c r="Q864"/>
  <c r="Q865"/>
  <c r="Q866"/>
  <c r="Q867"/>
  <c r="Q868"/>
  <c r="Q869"/>
  <c r="Q870"/>
  <c r="Q871"/>
  <c r="Q872"/>
  <c r="Q873"/>
  <c r="Q874"/>
  <c r="Q875"/>
  <c r="Q876"/>
  <c r="Q877"/>
  <c r="Q878"/>
  <c r="Q879"/>
  <c r="Q880"/>
  <c r="Q881"/>
  <c r="Q882"/>
  <c r="Q883"/>
  <c r="Q884"/>
  <c r="Q885"/>
  <c r="Q886"/>
  <c r="Q887"/>
  <c r="Q888"/>
  <c r="Q889"/>
  <c r="Q890"/>
  <c r="Q891"/>
  <c r="Q892"/>
  <c r="Q893"/>
  <c r="Q894"/>
  <c r="Q895"/>
  <c r="Q896"/>
  <c r="Q897"/>
  <c r="Q898"/>
  <c r="Q899"/>
  <c r="Q900"/>
  <c r="Q901"/>
  <c r="Q902"/>
  <c r="Q903"/>
  <c r="Q904"/>
  <c r="Q905"/>
  <c r="Q906"/>
  <c r="Q907"/>
  <c r="Q908"/>
  <c r="Q909"/>
  <c r="Q910"/>
  <c r="Q911"/>
  <c r="Q912"/>
  <c r="Q913"/>
  <c r="Q914"/>
  <c r="Q915"/>
  <c r="Q916"/>
  <c r="Q917"/>
  <c r="Q918"/>
  <c r="Q919"/>
  <c r="Q920"/>
  <c r="Q921"/>
  <c r="Q922"/>
  <c r="Q923"/>
  <c r="Q924"/>
  <c r="Q925"/>
  <c r="Q926"/>
  <c r="Q927"/>
  <c r="Q928"/>
  <c r="Q929"/>
  <c r="Q930"/>
  <c r="Q931"/>
  <c r="Q932"/>
  <c r="Q933"/>
  <c r="Q934"/>
  <c r="Q935"/>
  <c r="Q936"/>
  <c r="Q937"/>
  <c r="Q938"/>
  <c r="Q939"/>
  <c r="Q940"/>
  <c r="Q941"/>
  <c r="Q942"/>
  <c r="Q943"/>
  <c r="Q944"/>
  <c r="Q945"/>
  <c r="Q946"/>
  <c r="Q947"/>
  <c r="Q948"/>
  <c r="Q949"/>
  <c r="Q950"/>
  <c r="Q951"/>
  <c r="Q952"/>
  <c r="Q953"/>
  <c r="Q954"/>
  <c r="Q955"/>
  <c r="Q956"/>
  <c r="Q957"/>
  <c r="Q958"/>
  <c r="Q959"/>
  <c r="Q960"/>
  <c r="Q961"/>
  <c r="Q962"/>
  <c r="Q963"/>
  <c r="Q964"/>
  <c r="Q965"/>
  <c r="Q966"/>
  <c r="Q967"/>
  <c r="Q968"/>
  <c r="Q969"/>
  <c r="Q970"/>
  <c r="Q971"/>
  <c r="Q972"/>
  <c r="Q973"/>
  <c r="Q974"/>
  <c r="Q975"/>
  <c r="Q976"/>
  <c r="Q977"/>
  <c r="Q978"/>
  <c r="Q979"/>
  <c r="Q980"/>
  <c r="Q981"/>
  <c r="Q982"/>
  <c r="Q983"/>
  <c r="Q984"/>
  <c r="Q985"/>
  <c r="Q986"/>
  <c r="Q987"/>
  <c r="Q988"/>
  <c r="Q989"/>
  <c r="Q990"/>
  <c r="Q991"/>
  <c r="Q992"/>
  <c r="Q993"/>
  <c r="Q994"/>
  <c r="Q995"/>
  <c r="Q996"/>
  <c r="Q997"/>
  <c r="Q998"/>
  <c r="Q999"/>
  <c r="Q1000"/>
  <c r="Q1001"/>
  <c r="Q1002"/>
  <c r="Q1003"/>
  <c r="Q1004"/>
  <c r="Q1005"/>
  <c r="Q1006"/>
  <c r="Q1007"/>
  <c r="Q1008"/>
  <c r="Q1009"/>
  <c r="Q1010"/>
  <c r="Q1011"/>
  <c r="Q1012"/>
  <c r="Q1013"/>
  <c r="Q1014"/>
  <c r="Q1015"/>
  <c r="Q1016"/>
  <c r="Q1017"/>
  <c r="Q1018"/>
  <c r="Q1019"/>
  <c r="Q1020"/>
  <c r="Q1021"/>
  <c r="Q1022"/>
  <c r="Q1023"/>
  <c r="Q1024"/>
  <c r="Q1025"/>
  <c r="Q1026"/>
  <c r="Q1027"/>
  <c r="Q1028"/>
  <c r="Q1029"/>
  <c r="Q1030"/>
  <c r="Q1031"/>
  <c r="Q1032"/>
  <c r="Q1033"/>
  <c r="Q1034"/>
  <c r="Q1035"/>
  <c r="Q1036"/>
  <c r="Q1037"/>
  <c r="Q1038"/>
  <c r="Q1039"/>
  <c r="Q1040"/>
  <c r="Q1041"/>
  <c r="Q1042"/>
  <c r="Q1043"/>
  <c r="Q1044"/>
  <c r="Q1045"/>
  <c r="Q1046"/>
  <c r="Q1047"/>
  <c r="Q1048"/>
  <c r="Q1049"/>
  <c r="Q1050"/>
  <c r="Q1051"/>
  <c r="Q1052"/>
  <c r="Q1053"/>
  <c r="Q1054"/>
  <c r="Q1055"/>
  <c r="Q1056"/>
  <c r="Q1057"/>
  <c r="Q1058"/>
  <c r="Q1059"/>
  <c r="Q1060"/>
  <c r="Q1061"/>
  <c r="Q1062"/>
  <c r="Q1063"/>
  <c r="Q1064"/>
  <c r="Q1065"/>
  <c r="Q1066"/>
  <c r="Q1067"/>
  <c r="Q1068"/>
  <c r="Q1069"/>
  <c r="Q1070"/>
  <c r="Q1071"/>
  <c r="Q1072"/>
  <c r="Q1073"/>
  <c r="Q1074"/>
  <c r="Q1075"/>
  <c r="Q1076"/>
  <c r="Q1077"/>
  <c r="Q1078"/>
  <c r="Q1079"/>
  <c r="Q1080"/>
  <c r="Q1081"/>
  <c r="Q1082"/>
  <c r="Q1083"/>
  <c r="Q1084"/>
  <c r="Q1085"/>
  <c r="Q1086"/>
  <c r="Q1087"/>
  <c r="Q1088"/>
  <c r="Q1089"/>
  <c r="Q1090"/>
  <c r="Q1091"/>
  <c r="Q1092"/>
  <c r="Q1093"/>
  <c r="Q1094"/>
  <c r="Q1095"/>
  <c r="Q1096"/>
  <c r="Q1097"/>
  <c r="Q1098"/>
  <c r="Q1099"/>
  <c r="Q1100"/>
  <c r="Q1101"/>
  <c r="Q1102"/>
  <c r="Q1103"/>
  <c r="Q1104"/>
  <c r="Q1105"/>
  <c r="Q1106"/>
  <c r="Q1107"/>
  <c r="Q1108"/>
  <c r="Q1109"/>
  <c r="Q1110"/>
  <c r="Q1111"/>
  <c r="Q1112"/>
  <c r="Q1113"/>
  <c r="Q1114"/>
  <c r="Q1115"/>
  <c r="Q1116"/>
  <c r="Q1117"/>
  <c r="Q1118"/>
  <c r="Q1119"/>
  <c r="Q1120"/>
  <c r="Q1121"/>
  <c r="Q1122"/>
  <c r="Q1123"/>
  <c r="Q1124"/>
  <c r="Q1125"/>
  <c r="Q1126"/>
  <c r="Q1127"/>
  <c r="Q1128"/>
  <c r="Q1129"/>
  <c r="Q1130"/>
  <c r="Q1131"/>
  <c r="Q1132"/>
  <c r="Q1133"/>
  <c r="Q1134"/>
  <c r="Q1135"/>
  <c r="Q1136"/>
  <c r="Q1137"/>
  <c r="Q1138"/>
  <c r="Q1139"/>
  <c r="Q1140"/>
  <c r="Q1141"/>
  <c r="Q1142"/>
  <c r="Q1143"/>
  <c r="Q1144"/>
  <c r="Q1145"/>
  <c r="Q1146"/>
  <c r="Q1147"/>
  <c r="Q1148"/>
  <c r="Q1149"/>
  <c r="Q1150"/>
  <c r="Q1151"/>
  <c r="Q1152"/>
  <c r="Q1153"/>
  <c r="Q1154"/>
  <c r="Q1155"/>
  <c r="Q1156"/>
  <c r="Q1157"/>
  <c r="Q1158"/>
  <c r="Q1159"/>
  <c r="Q1160"/>
  <c r="Q1161"/>
  <c r="Q1162"/>
  <c r="Q1163"/>
  <c r="Q1164"/>
  <c r="Q1165"/>
  <c r="Q1166"/>
  <c r="Q1167"/>
  <c r="Q1168"/>
  <c r="Q1169"/>
  <c r="Q1170"/>
  <c r="Q1171"/>
  <c r="Q1172"/>
  <c r="Q1173"/>
  <c r="Q1174"/>
  <c r="Q1175"/>
  <c r="Q1176"/>
  <c r="Q1177"/>
  <c r="Q1178"/>
  <c r="Q1179"/>
  <c r="Q1180"/>
  <c r="Q1181"/>
  <c r="Q1182"/>
  <c r="Q1183"/>
  <c r="Q1184"/>
  <c r="Q1185"/>
  <c r="Q1186"/>
  <c r="Q1187"/>
  <c r="Q1188"/>
  <c r="Q1189"/>
  <c r="Q1190"/>
  <c r="Q1191"/>
  <c r="Q1192"/>
  <c r="Q1193"/>
  <c r="Q1194"/>
  <c r="Q1195"/>
  <c r="Q1196"/>
  <c r="Q1197"/>
  <c r="Q1198"/>
  <c r="Q1199"/>
  <c r="Q1200"/>
  <c r="Q1201"/>
  <c r="Q1202"/>
  <c r="Q1203"/>
  <c r="Q1204"/>
  <c r="Q1205"/>
  <c r="Q1206"/>
  <c r="Q1207"/>
  <c r="Q1208"/>
  <c r="Q1209"/>
  <c r="Q1210"/>
  <c r="Q1211"/>
  <c r="Q1212"/>
  <c r="Q1213"/>
  <c r="Q1214"/>
  <c r="Q1215"/>
  <c r="Q1216"/>
  <c r="Q1217"/>
  <c r="Q1218"/>
  <c r="Q1219"/>
  <c r="Q1220"/>
  <c r="Q1221"/>
  <c r="Q1222"/>
  <c r="Q1223"/>
  <c r="Q1268"/>
  <c r="Q1284"/>
  <c r="R6"/>
  <c r="R7"/>
  <c r="R8"/>
  <c r="R9"/>
  <c r="R10"/>
  <c r="R11"/>
  <c r="R12"/>
  <c r="R13"/>
  <c r="R14"/>
  <c r="R15"/>
  <c r="R16"/>
  <c r="R17"/>
  <c r="R18"/>
  <c r="R19"/>
  <c r="R20"/>
  <c r="R21"/>
  <c r="R22"/>
  <c r="R23"/>
  <c r="R24"/>
  <c r="R25"/>
  <c r="R26"/>
  <c r="R27"/>
  <c r="R28"/>
  <c r="R29"/>
  <c r="R30"/>
  <c r="R31"/>
  <c r="R32"/>
  <c r="R33"/>
  <c r="R34"/>
  <c r="R35"/>
  <c r="R36"/>
  <c r="R37"/>
  <c r="R38"/>
  <c r="R39"/>
  <c r="R40"/>
  <c r="R41"/>
  <c r="R42"/>
  <c r="R43"/>
  <c r="R44"/>
  <c r="R45"/>
  <c r="R46"/>
  <c r="R47"/>
  <c r="R48"/>
  <c r="R49"/>
  <c r="R50"/>
  <c r="R51"/>
  <c r="R52"/>
  <c r="R53"/>
  <c r="R54"/>
  <c r="R55"/>
  <c r="R56"/>
  <c r="R57"/>
  <c r="R58"/>
  <c r="R59"/>
  <c r="R60"/>
  <c r="R61"/>
  <c r="R62"/>
  <c r="R63"/>
  <c r="R64"/>
  <c r="R65"/>
  <c r="R66"/>
  <c r="R67"/>
  <c r="R68"/>
  <c r="R69"/>
  <c r="R70"/>
  <c r="R71"/>
  <c r="R72"/>
  <c r="R73"/>
  <c r="R74"/>
  <c r="R75"/>
  <c r="R76"/>
  <c r="R77"/>
  <c r="R78"/>
  <c r="R79"/>
  <c r="R80"/>
  <c r="R81"/>
  <c r="R82"/>
  <c r="R83"/>
  <c r="R84"/>
  <c r="R85"/>
  <c r="R86"/>
  <c r="R87"/>
  <c r="R88"/>
  <c r="R89"/>
  <c r="R90"/>
  <c r="R91"/>
  <c r="R92"/>
  <c r="R93"/>
  <c r="R94"/>
  <c r="R95"/>
  <c r="R96"/>
  <c r="R97"/>
  <c r="R98"/>
  <c r="R99"/>
  <c r="R100"/>
  <c r="R101"/>
  <c r="R102"/>
  <c r="R103"/>
  <c r="R104"/>
  <c r="R105"/>
  <c r="R106"/>
  <c r="R107"/>
  <c r="R108"/>
  <c r="R109"/>
  <c r="R110"/>
  <c r="R111"/>
  <c r="R112"/>
  <c r="R113"/>
  <c r="R114"/>
  <c r="R115"/>
  <c r="R116"/>
  <c r="R117"/>
  <c r="R118"/>
  <c r="R119"/>
  <c r="R120"/>
  <c r="R121"/>
  <c r="R122"/>
  <c r="R123"/>
  <c r="R124"/>
  <c r="R125"/>
  <c r="R126"/>
  <c r="R127"/>
  <c r="R128"/>
  <c r="R129"/>
  <c r="R130"/>
  <c r="R131"/>
  <c r="R132"/>
  <c r="R133"/>
  <c r="R134"/>
  <c r="R135"/>
  <c r="R136"/>
  <c r="R137"/>
  <c r="R138"/>
  <c r="R139"/>
  <c r="R140"/>
  <c r="R141"/>
  <c r="R142"/>
  <c r="R143"/>
  <c r="R144"/>
  <c r="R145"/>
  <c r="R146"/>
  <c r="R147"/>
  <c r="R148"/>
  <c r="R149"/>
  <c r="R150"/>
  <c r="R151"/>
  <c r="R152"/>
  <c r="R153"/>
  <c r="R154"/>
  <c r="R155"/>
  <c r="R156"/>
  <c r="R157"/>
  <c r="R158"/>
  <c r="R159"/>
  <c r="R160"/>
  <c r="R161"/>
  <c r="R162"/>
  <c r="R163"/>
  <c r="R164"/>
  <c r="R165"/>
  <c r="R166"/>
  <c r="R167"/>
  <c r="R168"/>
  <c r="R169"/>
  <c r="R170"/>
  <c r="R171"/>
  <c r="R172"/>
  <c r="R173"/>
  <c r="R174"/>
  <c r="R175"/>
  <c r="R176"/>
  <c r="R177"/>
  <c r="R178"/>
  <c r="R179"/>
  <c r="R180"/>
  <c r="R181"/>
  <c r="R182"/>
  <c r="R183"/>
  <c r="R184"/>
  <c r="R185"/>
  <c r="R186"/>
  <c r="R187"/>
  <c r="R188"/>
  <c r="R189"/>
  <c r="R190"/>
  <c r="R191"/>
  <c r="R192"/>
  <c r="R193"/>
  <c r="R194"/>
  <c r="R195"/>
  <c r="R196"/>
  <c r="R197"/>
  <c r="R198"/>
  <c r="R199"/>
  <c r="R200"/>
  <c r="R201"/>
  <c r="R202"/>
  <c r="R203"/>
  <c r="R204"/>
  <c r="R205"/>
  <c r="R206"/>
  <c r="R207"/>
  <c r="R208"/>
  <c r="R209"/>
  <c r="R210"/>
  <c r="R211"/>
  <c r="R212"/>
  <c r="R213"/>
  <c r="R214"/>
  <c r="R215"/>
  <c r="R216"/>
  <c r="R217"/>
  <c r="R218"/>
  <c r="R219"/>
  <c r="R220"/>
  <c r="R221"/>
  <c r="R222"/>
  <c r="R223"/>
  <c r="R224"/>
  <c r="R225"/>
  <c r="R226"/>
  <c r="R227"/>
  <c r="R228"/>
  <c r="R229"/>
  <c r="R230"/>
  <c r="R231"/>
  <c r="R232"/>
  <c r="R233"/>
  <c r="R234"/>
  <c r="R235"/>
  <c r="R236"/>
  <c r="R237"/>
  <c r="R238"/>
  <c r="R239"/>
  <c r="R240"/>
  <c r="R241"/>
  <c r="R242"/>
  <c r="R243"/>
  <c r="R244"/>
  <c r="R245"/>
  <c r="R246"/>
  <c r="R247"/>
  <c r="R248"/>
  <c r="R249"/>
  <c r="R250"/>
  <c r="R251"/>
  <c r="R252"/>
  <c r="R253"/>
  <c r="R254"/>
  <c r="R255"/>
  <c r="R256"/>
  <c r="R257"/>
  <c r="R258"/>
  <c r="R259"/>
  <c r="R260"/>
  <c r="R261"/>
  <c r="R262"/>
  <c r="R263"/>
  <c r="R264"/>
  <c r="R265"/>
  <c r="R266"/>
  <c r="R267"/>
  <c r="R268"/>
  <c r="R269"/>
  <c r="R270"/>
  <c r="R271"/>
  <c r="R272"/>
  <c r="R273"/>
  <c r="R274"/>
  <c r="R275"/>
  <c r="R276"/>
  <c r="R277"/>
  <c r="R278"/>
  <c r="R279"/>
  <c r="R280"/>
  <c r="R281"/>
  <c r="R282"/>
  <c r="R283"/>
  <c r="R284"/>
  <c r="R285"/>
  <c r="R286"/>
  <c r="R287"/>
  <c r="R288"/>
  <c r="R289"/>
  <c r="R290"/>
  <c r="R291"/>
  <c r="R292"/>
  <c r="R293"/>
  <c r="R294"/>
  <c r="R295"/>
  <c r="R296"/>
  <c r="R297"/>
  <c r="R298"/>
  <c r="R299"/>
  <c r="R300"/>
  <c r="R301"/>
  <c r="R302"/>
  <c r="R303"/>
  <c r="R304"/>
  <c r="R305"/>
  <c r="R306"/>
  <c r="R307"/>
  <c r="R308"/>
  <c r="R309"/>
  <c r="R310"/>
  <c r="R311"/>
  <c r="R312"/>
  <c r="R313"/>
  <c r="R314"/>
  <c r="R315"/>
  <c r="R316"/>
  <c r="R317"/>
  <c r="R318"/>
  <c r="R319"/>
  <c r="R320"/>
  <c r="R321"/>
  <c r="R322"/>
  <c r="R323"/>
  <c r="R324"/>
  <c r="R325"/>
  <c r="R326"/>
  <c r="R327"/>
  <c r="R328"/>
  <c r="R329"/>
  <c r="R330"/>
  <c r="R331"/>
  <c r="R332"/>
  <c r="R333"/>
  <c r="R334"/>
  <c r="R335"/>
  <c r="R336"/>
  <c r="R337"/>
  <c r="R338"/>
  <c r="R339"/>
  <c r="R340"/>
  <c r="R341"/>
  <c r="R342"/>
  <c r="R343"/>
  <c r="R344"/>
  <c r="R345"/>
  <c r="R346"/>
  <c r="R347"/>
  <c r="R348"/>
  <c r="R349"/>
  <c r="R350"/>
  <c r="R351"/>
  <c r="R352"/>
  <c r="R353"/>
  <c r="R354"/>
  <c r="R355"/>
  <c r="R356"/>
  <c r="R357"/>
  <c r="R358"/>
  <c r="R359"/>
  <c r="R360"/>
  <c r="R361"/>
  <c r="R362"/>
  <c r="R363"/>
  <c r="R364"/>
  <c r="R365"/>
  <c r="R366"/>
  <c r="R367"/>
  <c r="R368"/>
  <c r="R369"/>
  <c r="R370"/>
  <c r="R371"/>
  <c r="R372"/>
  <c r="R373"/>
  <c r="R374"/>
  <c r="R375"/>
  <c r="R376"/>
  <c r="R377"/>
  <c r="R378"/>
  <c r="R379"/>
  <c r="R380"/>
  <c r="R381"/>
  <c r="R382"/>
  <c r="R383"/>
  <c r="R384"/>
  <c r="R385"/>
  <c r="R386"/>
  <c r="R387"/>
  <c r="R388"/>
  <c r="R389"/>
  <c r="R390"/>
  <c r="R391"/>
  <c r="R392"/>
  <c r="R393"/>
  <c r="R394"/>
  <c r="R395"/>
  <c r="R396"/>
  <c r="R397"/>
  <c r="R398"/>
  <c r="R399"/>
  <c r="R400"/>
  <c r="R401"/>
  <c r="R402"/>
  <c r="R403"/>
  <c r="R404"/>
  <c r="R405"/>
  <c r="R406"/>
  <c r="R407"/>
  <c r="R408"/>
  <c r="R409"/>
  <c r="R410"/>
  <c r="R411"/>
  <c r="R412"/>
  <c r="R413"/>
  <c r="R414"/>
  <c r="R415"/>
  <c r="R416"/>
  <c r="R417"/>
  <c r="R418"/>
  <c r="R419"/>
  <c r="R420"/>
  <c r="R421"/>
  <c r="R422"/>
  <c r="R423"/>
  <c r="R424"/>
  <c r="R425"/>
  <c r="R426"/>
  <c r="R427"/>
  <c r="R428"/>
  <c r="R429"/>
  <c r="R430"/>
  <c r="R431"/>
  <c r="R432"/>
  <c r="R433"/>
  <c r="R434"/>
  <c r="R435"/>
  <c r="R436"/>
  <c r="R437"/>
  <c r="R438"/>
  <c r="R439"/>
  <c r="R440"/>
  <c r="R441"/>
  <c r="R442"/>
  <c r="R443"/>
  <c r="R444"/>
  <c r="R445"/>
  <c r="R446"/>
  <c r="R447"/>
  <c r="R448"/>
  <c r="R449"/>
  <c r="R450"/>
  <c r="R451"/>
  <c r="R452"/>
  <c r="R453"/>
  <c r="R454"/>
  <c r="R455"/>
  <c r="R456"/>
  <c r="R457"/>
  <c r="R458"/>
  <c r="R459"/>
  <c r="R460"/>
  <c r="R461"/>
  <c r="R462"/>
  <c r="R463"/>
  <c r="R464"/>
  <c r="R465"/>
  <c r="R466"/>
  <c r="R467"/>
  <c r="R468"/>
  <c r="R469"/>
  <c r="R470"/>
  <c r="R471"/>
  <c r="R472"/>
  <c r="R473"/>
  <c r="R474"/>
  <c r="R475"/>
  <c r="R476"/>
  <c r="R477"/>
  <c r="R478"/>
  <c r="R479"/>
  <c r="R480"/>
  <c r="R481"/>
  <c r="R482"/>
  <c r="R483"/>
  <c r="R484"/>
  <c r="R485"/>
  <c r="R486"/>
  <c r="R487"/>
  <c r="R488"/>
  <c r="R489"/>
  <c r="R490"/>
  <c r="R491"/>
  <c r="R492"/>
  <c r="R493"/>
  <c r="R494"/>
  <c r="R495"/>
  <c r="R496"/>
  <c r="R497"/>
  <c r="R498"/>
  <c r="R499"/>
  <c r="R500"/>
  <c r="R501"/>
  <c r="R502"/>
  <c r="R503"/>
  <c r="R504"/>
  <c r="R505"/>
  <c r="R506"/>
  <c r="R507"/>
  <c r="R508"/>
  <c r="R509"/>
  <c r="R510"/>
  <c r="R511"/>
  <c r="R512"/>
  <c r="R513"/>
  <c r="R514"/>
  <c r="R515"/>
  <c r="R516"/>
  <c r="R517"/>
  <c r="R518"/>
  <c r="R519"/>
  <c r="R520"/>
  <c r="R521"/>
  <c r="R522"/>
  <c r="R523"/>
  <c r="R524"/>
  <c r="R525"/>
  <c r="R526"/>
  <c r="R527"/>
  <c r="R528"/>
  <c r="R529"/>
  <c r="R530"/>
  <c r="R531"/>
  <c r="R532"/>
  <c r="R533"/>
  <c r="R534"/>
  <c r="R535"/>
  <c r="R536"/>
  <c r="R537"/>
  <c r="R538"/>
  <c r="R539"/>
  <c r="R540"/>
  <c r="R541"/>
  <c r="R542"/>
  <c r="R543"/>
  <c r="R544"/>
  <c r="R545"/>
  <c r="R546"/>
  <c r="R547"/>
  <c r="R548"/>
  <c r="R549"/>
  <c r="R550"/>
  <c r="R551"/>
  <c r="R552"/>
  <c r="R553"/>
  <c r="R554"/>
  <c r="R555"/>
  <c r="R556"/>
  <c r="R557"/>
  <c r="R558"/>
  <c r="R559"/>
  <c r="R560"/>
  <c r="R561"/>
  <c r="R562"/>
  <c r="R563"/>
  <c r="R564"/>
  <c r="R565"/>
  <c r="R566"/>
  <c r="R567"/>
  <c r="R568"/>
  <c r="R569"/>
  <c r="R570"/>
  <c r="R571"/>
  <c r="R572"/>
  <c r="R573"/>
  <c r="R574"/>
  <c r="R575"/>
  <c r="R576"/>
  <c r="R577"/>
  <c r="R578"/>
  <c r="R579"/>
  <c r="R580"/>
  <c r="R581"/>
  <c r="R582"/>
  <c r="R583"/>
  <c r="R584"/>
  <c r="R585"/>
  <c r="R586"/>
  <c r="R587"/>
  <c r="R588"/>
  <c r="R589"/>
  <c r="R590"/>
  <c r="R591"/>
  <c r="R592"/>
  <c r="R593"/>
  <c r="R594"/>
  <c r="R595"/>
  <c r="R596"/>
  <c r="R597"/>
  <c r="R598"/>
  <c r="R599"/>
  <c r="R600"/>
  <c r="R601"/>
  <c r="R602"/>
  <c r="R603"/>
  <c r="R604"/>
  <c r="R605"/>
  <c r="R606"/>
  <c r="R607"/>
  <c r="R608"/>
  <c r="R609"/>
  <c r="R610"/>
  <c r="R611"/>
  <c r="R612"/>
  <c r="R613"/>
  <c r="R614"/>
  <c r="R615"/>
  <c r="R616"/>
  <c r="R617"/>
  <c r="R618"/>
  <c r="R619"/>
  <c r="R620"/>
  <c r="R621"/>
  <c r="R622"/>
  <c r="R623"/>
  <c r="R624"/>
  <c r="R625"/>
  <c r="R626"/>
  <c r="R627"/>
  <c r="R628"/>
  <c r="R629"/>
  <c r="R630"/>
  <c r="R631"/>
  <c r="R632"/>
  <c r="R633"/>
  <c r="R634"/>
  <c r="R635"/>
  <c r="R636"/>
  <c r="R637"/>
  <c r="R638"/>
  <c r="R639"/>
  <c r="R640"/>
  <c r="R641"/>
  <c r="R642"/>
  <c r="R643"/>
  <c r="R644"/>
  <c r="R645"/>
  <c r="R646"/>
  <c r="R647"/>
  <c r="R648"/>
  <c r="R649"/>
  <c r="R650"/>
  <c r="R651"/>
  <c r="R652"/>
  <c r="R653"/>
  <c r="R654"/>
  <c r="R655"/>
  <c r="R656"/>
  <c r="R657"/>
  <c r="R658"/>
  <c r="R659"/>
  <c r="R660"/>
  <c r="R661"/>
  <c r="R662"/>
  <c r="R663"/>
  <c r="R664"/>
  <c r="R665"/>
  <c r="R666"/>
  <c r="R667"/>
  <c r="R668"/>
  <c r="R669"/>
  <c r="R670"/>
  <c r="R671"/>
  <c r="R672"/>
  <c r="R673"/>
  <c r="R674"/>
  <c r="R675"/>
  <c r="R676"/>
  <c r="R677"/>
  <c r="R678"/>
  <c r="R679"/>
  <c r="R680"/>
  <c r="R681"/>
  <c r="R682"/>
  <c r="R683"/>
  <c r="R684"/>
  <c r="R685"/>
  <c r="R686"/>
  <c r="R687"/>
  <c r="R688"/>
  <c r="R689"/>
  <c r="R690"/>
  <c r="R691"/>
  <c r="R692"/>
  <c r="R693"/>
  <c r="R694"/>
  <c r="R695"/>
  <c r="R696"/>
  <c r="R697"/>
  <c r="R698"/>
  <c r="R699"/>
  <c r="R700"/>
  <c r="R701"/>
  <c r="R702"/>
  <c r="R703"/>
  <c r="R704"/>
  <c r="R705"/>
  <c r="R706"/>
  <c r="R707"/>
  <c r="R708"/>
  <c r="R709"/>
  <c r="R710"/>
  <c r="R711"/>
  <c r="R712"/>
  <c r="R713"/>
  <c r="R714"/>
  <c r="R715"/>
  <c r="R716"/>
  <c r="R717"/>
  <c r="R718"/>
  <c r="R719"/>
  <c r="R720"/>
  <c r="R721"/>
  <c r="R722"/>
  <c r="R723"/>
  <c r="R724"/>
  <c r="R725"/>
  <c r="R726"/>
  <c r="R727"/>
  <c r="R728"/>
  <c r="R729"/>
  <c r="R730"/>
  <c r="R731"/>
  <c r="R732"/>
  <c r="R733"/>
  <c r="R734"/>
  <c r="R735"/>
  <c r="R736"/>
  <c r="R737"/>
  <c r="R738"/>
  <c r="R739"/>
  <c r="R740"/>
  <c r="R741"/>
  <c r="R742"/>
  <c r="R743"/>
  <c r="R744"/>
  <c r="R745"/>
  <c r="R746"/>
  <c r="R747"/>
  <c r="R748"/>
  <c r="R749"/>
  <c r="R750"/>
  <c r="R751"/>
  <c r="R752"/>
  <c r="R753"/>
  <c r="R754"/>
  <c r="R755"/>
  <c r="R756"/>
  <c r="R757"/>
  <c r="R758"/>
  <c r="R759"/>
  <c r="R760"/>
  <c r="R761"/>
  <c r="R762"/>
  <c r="R763"/>
  <c r="R764"/>
  <c r="R765"/>
  <c r="R766"/>
  <c r="R767"/>
  <c r="R768"/>
  <c r="R769"/>
  <c r="R770"/>
  <c r="R771"/>
  <c r="R772"/>
  <c r="R773"/>
  <c r="R774"/>
  <c r="R775"/>
  <c r="R776"/>
  <c r="R777"/>
  <c r="R778"/>
  <c r="R779"/>
  <c r="R780"/>
  <c r="R781"/>
  <c r="R782"/>
  <c r="R783"/>
  <c r="R784"/>
  <c r="R785"/>
  <c r="R786"/>
  <c r="R787"/>
  <c r="R788"/>
  <c r="R789"/>
  <c r="R790"/>
  <c r="R791"/>
  <c r="R792"/>
  <c r="R793"/>
  <c r="R794"/>
  <c r="R795"/>
  <c r="R796"/>
  <c r="R797"/>
  <c r="R798"/>
  <c r="R799"/>
  <c r="R800"/>
  <c r="R801"/>
  <c r="R802"/>
  <c r="R803"/>
  <c r="R804"/>
  <c r="R805"/>
  <c r="R806"/>
  <c r="R807"/>
  <c r="R808"/>
  <c r="R809"/>
  <c r="R810"/>
  <c r="R811"/>
  <c r="R812"/>
  <c r="R813"/>
  <c r="R814"/>
  <c r="R815"/>
  <c r="R816"/>
  <c r="R817"/>
  <c r="R818"/>
  <c r="R819"/>
  <c r="R820"/>
  <c r="R821"/>
  <c r="R822"/>
  <c r="R823"/>
  <c r="R824"/>
  <c r="R825"/>
  <c r="R826"/>
  <c r="R827"/>
  <c r="R828"/>
  <c r="R829"/>
  <c r="R830"/>
  <c r="R831"/>
  <c r="R832"/>
  <c r="R833"/>
  <c r="R834"/>
  <c r="R835"/>
  <c r="R836"/>
  <c r="R837"/>
  <c r="R838"/>
  <c r="R839"/>
  <c r="R840"/>
  <c r="R841"/>
  <c r="R842"/>
  <c r="R843"/>
  <c r="R844"/>
  <c r="R845"/>
  <c r="R846"/>
  <c r="R847"/>
  <c r="R848"/>
  <c r="R849"/>
  <c r="R850"/>
  <c r="R851"/>
  <c r="R852"/>
  <c r="R853"/>
  <c r="R854"/>
  <c r="R855"/>
  <c r="R856"/>
  <c r="R857"/>
  <c r="R858"/>
  <c r="R859"/>
  <c r="R860"/>
  <c r="R861"/>
  <c r="R862"/>
  <c r="R863"/>
  <c r="R864"/>
  <c r="R865"/>
  <c r="R866"/>
  <c r="R867"/>
  <c r="R868"/>
  <c r="R869"/>
  <c r="R870"/>
  <c r="R871"/>
  <c r="R872"/>
  <c r="R873"/>
  <c r="R874"/>
  <c r="R875"/>
  <c r="R876"/>
  <c r="R877"/>
  <c r="R878"/>
  <c r="R879"/>
  <c r="R880"/>
  <c r="R881"/>
  <c r="R882"/>
  <c r="R883"/>
  <c r="R884"/>
  <c r="R885"/>
  <c r="R886"/>
  <c r="R887"/>
  <c r="R888"/>
  <c r="R889"/>
  <c r="R890"/>
  <c r="R891"/>
  <c r="R892"/>
  <c r="R893"/>
  <c r="R894"/>
  <c r="R895"/>
  <c r="R896"/>
  <c r="R897"/>
  <c r="R898"/>
  <c r="R899"/>
  <c r="R900"/>
  <c r="R901"/>
  <c r="R902"/>
  <c r="R903"/>
  <c r="R904"/>
  <c r="R905"/>
  <c r="R906"/>
  <c r="R907"/>
  <c r="R908"/>
  <c r="R909"/>
  <c r="R910"/>
  <c r="R911"/>
  <c r="R912"/>
  <c r="R913"/>
  <c r="R914"/>
  <c r="R915"/>
  <c r="R916"/>
  <c r="R917"/>
  <c r="R918"/>
  <c r="R919"/>
  <c r="R920"/>
  <c r="R921"/>
  <c r="R922"/>
  <c r="R923"/>
  <c r="R924"/>
  <c r="R925"/>
  <c r="R926"/>
  <c r="R927"/>
  <c r="R928"/>
  <c r="R929"/>
  <c r="R930"/>
  <c r="R931"/>
  <c r="R932"/>
  <c r="R933"/>
  <c r="R934"/>
  <c r="R935"/>
  <c r="R936"/>
  <c r="R937"/>
  <c r="R938"/>
  <c r="R939"/>
  <c r="R940"/>
  <c r="R941"/>
  <c r="R942"/>
  <c r="R943"/>
  <c r="R944"/>
  <c r="R945"/>
  <c r="R946"/>
  <c r="R947"/>
  <c r="R948"/>
  <c r="R949"/>
  <c r="R950"/>
  <c r="R951"/>
  <c r="R952"/>
  <c r="R953"/>
  <c r="R954"/>
  <c r="R955"/>
  <c r="R956"/>
  <c r="R957"/>
  <c r="R958"/>
  <c r="R959"/>
  <c r="R960"/>
  <c r="R961"/>
  <c r="R962"/>
  <c r="R963"/>
  <c r="R964"/>
  <c r="R965"/>
  <c r="R966"/>
  <c r="R967"/>
  <c r="R968"/>
  <c r="R969"/>
  <c r="R970"/>
  <c r="R971"/>
  <c r="R972"/>
  <c r="R973"/>
  <c r="R974"/>
  <c r="R975"/>
  <c r="R976"/>
  <c r="R977"/>
  <c r="R978"/>
  <c r="R979"/>
  <c r="R980"/>
  <c r="R981"/>
  <c r="R982"/>
  <c r="R983"/>
  <c r="R984"/>
  <c r="R985"/>
  <c r="R986"/>
  <c r="R987"/>
  <c r="R988"/>
  <c r="R989"/>
  <c r="R990"/>
  <c r="R991"/>
  <c r="R992"/>
  <c r="R993"/>
  <c r="R994"/>
  <c r="R995"/>
  <c r="R996"/>
  <c r="R997"/>
  <c r="R998"/>
  <c r="R999"/>
  <c r="R1000"/>
  <c r="R1001"/>
  <c r="R1002"/>
  <c r="R1003"/>
  <c r="R1004"/>
  <c r="R1005"/>
  <c r="R1006"/>
  <c r="R1007"/>
  <c r="R1008"/>
  <c r="R1009"/>
  <c r="R1010"/>
  <c r="R1011"/>
  <c r="R1012"/>
  <c r="R1013"/>
  <c r="R1014"/>
  <c r="R1015"/>
  <c r="R1016"/>
  <c r="R1017"/>
  <c r="R1018"/>
  <c r="R1019"/>
  <c r="R1020"/>
  <c r="R1021"/>
  <c r="R1022"/>
  <c r="R1023"/>
  <c r="R1024"/>
  <c r="R1025"/>
  <c r="R1026"/>
  <c r="R1027"/>
  <c r="R1028"/>
  <c r="R1029"/>
  <c r="R1030"/>
  <c r="R1031"/>
  <c r="R1032"/>
  <c r="R1033"/>
  <c r="R1034"/>
  <c r="R1035"/>
  <c r="R1036"/>
  <c r="R1037"/>
  <c r="R1038"/>
  <c r="R1039"/>
  <c r="R1040"/>
  <c r="R1041"/>
  <c r="R1042"/>
  <c r="R1043"/>
  <c r="R1044"/>
  <c r="R1045"/>
  <c r="R1046"/>
  <c r="R1047"/>
  <c r="R1048"/>
  <c r="R1049"/>
  <c r="R1050"/>
  <c r="R1051"/>
  <c r="R1052"/>
  <c r="R1053"/>
  <c r="R1054"/>
  <c r="R1055"/>
  <c r="R1056"/>
  <c r="R1057"/>
  <c r="R1058"/>
  <c r="R1059"/>
  <c r="R1060"/>
  <c r="R1061"/>
  <c r="R1062"/>
  <c r="R1063"/>
  <c r="R1064"/>
  <c r="R1065"/>
  <c r="R1066"/>
  <c r="R1067"/>
  <c r="R1068"/>
  <c r="R1069"/>
  <c r="R1070"/>
  <c r="R1071"/>
  <c r="R1072"/>
  <c r="R1073"/>
  <c r="R1074"/>
  <c r="R1075"/>
  <c r="R1076"/>
  <c r="R1077"/>
  <c r="R1078"/>
  <c r="R1079"/>
  <c r="R1080"/>
  <c r="R1081"/>
  <c r="R1082"/>
  <c r="R1083"/>
  <c r="R1084"/>
  <c r="R1085"/>
  <c r="R1086"/>
  <c r="R1087"/>
  <c r="R1088"/>
  <c r="R1089"/>
  <c r="R1090"/>
  <c r="R1091"/>
  <c r="R1092"/>
  <c r="R1093"/>
  <c r="R1094"/>
  <c r="R1095"/>
  <c r="R1096"/>
  <c r="R1097"/>
  <c r="R1098"/>
  <c r="R1099"/>
  <c r="R1100"/>
  <c r="R1101"/>
  <c r="R1102"/>
  <c r="R1103"/>
  <c r="R1104"/>
  <c r="R1105"/>
  <c r="R1106"/>
  <c r="R1107"/>
  <c r="R1108"/>
  <c r="R1109"/>
  <c r="R1110"/>
  <c r="R1111"/>
  <c r="R1112"/>
  <c r="R1113"/>
  <c r="R1114"/>
  <c r="R1115"/>
  <c r="R1116"/>
  <c r="R1117"/>
  <c r="R1118"/>
  <c r="R1119"/>
  <c r="R1120"/>
  <c r="R1121"/>
  <c r="R1122"/>
  <c r="R1123"/>
  <c r="R1124"/>
  <c r="R1125"/>
  <c r="R1126"/>
  <c r="R1127"/>
  <c r="R1128"/>
  <c r="R1129"/>
  <c r="R1130"/>
  <c r="R1131"/>
  <c r="R1132"/>
  <c r="R1133"/>
  <c r="R1134"/>
  <c r="R1135"/>
  <c r="R1136"/>
  <c r="R1137"/>
  <c r="R1138"/>
  <c r="R1139"/>
  <c r="R1140"/>
  <c r="R1141"/>
  <c r="R1142"/>
  <c r="R1143"/>
  <c r="R1144"/>
  <c r="R1145"/>
  <c r="R1146"/>
  <c r="R1147"/>
  <c r="R1148"/>
  <c r="R1149"/>
  <c r="R1150"/>
  <c r="R1151"/>
  <c r="R1152"/>
  <c r="R1153"/>
  <c r="R1154"/>
  <c r="R1155"/>
  <c r="R1156"/>
  <c r="R1157"/>
  <c r="R1158"/>
  <c r="R1159"/>
  <c r="R1160"/>
  <c r="R1161"/>
  <c r="R1162"/>
  <c r="R1163"/>
  <c r="R1164"/>
  <c r="R1165"/>
  <c r="R1166"/>
  <c r="R1167"/>
  <c r="R1168"/>
  <c r="R1169"/>
  <c r="R1170"/>
  <c r="R1171"/>
  <c r="R1172"/>
  <c r="R1173"/>
  <c r="R1174"/>
  <c r="R1175"/>
  <c r="R1176"/>
  <c r="R1177"/>
  <c r="R1178"/>
  <c r="R1179"/>
  <c r="R1180"/>
  <c r="R1181"/>
  <c r="R1182"/>
  <c r="R1183"/>
  <c r="R1184"/>
  <c r="R1185"/>
  <c r="R1186"/>
  <c r="R1187"/>
  <c r="R1188"/>
  <c r="R1189"/>
  <c r="R1190"/>
  <c r="R1191"/>
  <c r="R1192"/>
  <c r="R1193"/>
  <c r="R1194"/>
  <c r="R1195"/>
  <c r="R1196"/>
  <c r="R1197"/>
  <c r="R1198"/>
  <c r="R1199"/>
  <c r="R1200"/>
  <c r="R1201"/>
  <c r="R1202"/>
  <c r="R1203"/>
  <c r="R1204"/>
  <c r="R1205"/>
  <c r="R1206"/>
  <c r="R1207"/>
  <c r="R1208"/>
  <c r="R1209"/>
  <c r="R1210"/>
  <c r="R1211"/>
  <c r="R1212"/>
  <c r="R1213"/>
  <c r="R1214"/>
  <c r="R1215"/>
  <c r="R1216"/>
  <c r="R1217"/>
  <c r="R1218"/>
  <c r="R1219"/>
  <c r="R1220"/>
  <c r="R1221"/>
  <c r="R1222"/>
  <c r="R1223"/>
  <c r="R1268"/>
  <c r="R1284"/>
  <c r="R1286"/>
  <c r="R1287"/>
  <c r="R1288"/>
  <c r="R1292"/>
  <c r="R1289"/>
  <c r="R1290"/>
  <c r="R1291"/>
  <c r="R1293"/>
  <c r="R1294"/>
  <c r="R1295"/>
  <c r="R1296"/>
  <c r="R1297"/>
  <c r="R1298"/>
  <c r="R1299"/>
  <c r="R1302"/>
  <c r="R1303"/>
  <c r="R1300"/>
  <c r="R1305"/>
  <c r="R1306"/>
  <c r="R1307"/>
  <c r="R1308"/>
  <c r="R1309"/>
  <c r="R1310"/>
  <c r="R1311"/>
  <c r="R1312"/>
  <c r="R1313"/>
  <c r="R1314"/>
  <c r="R1315"/>
  <c r="R1316"/>
  <c r="R1317"/>
  <c r="R1318"/>
  <c r="R1319"/>
  <c r="R1320"/>
  <c r="R1321"/>
  <c r="R1322"/>
  <c r="R1323"/>
  <c r="R1324"/>
  <c r="R1325"/>
  <c r="R1326"/>
  <c r="L1214" l="1"/>
  <c r="M1179"/>
  <c r="CB10" i="20"/>
  <c r="L1169" i="7"/>
  <c r="L1171"/>
  <c r="M1155"/>
  <c r="L1155"/>
  <c r="L1141" l="1"/>
  <c r="L1075" l="1"/>
  <c r="E1075"/>
  <c r="E1093"/>
  <c r="E1081"/>
  <c r="E1086"/>
  <c r="E1087"/>
  <c r="E1088"/>
  <c r="E1089"/>
  <c r="E1090"/>
  <c r="E1096"/>
  <c r="E1082"/>
  <c r="E1083"/>
  <c r="E1084"/>
  <c r="E1085"/>
  <c r="E1099"/>
  <c r="E1101"/>
  <c r="E1098"/>
  <c r="E1080"/>
  <c r="E1078"/>
  <c r="E1079"/>
  <c r="E1102"/>
  <c r="E1077"/>
  <c r="E1091"/>
  <c r="L1092"/>
  <c r="E1060"/>
  <c r="E1067"/>
  <c r="M1059" l="1"/>
  <c r="L1059"/>
  <c r="M1072"/>
  <c r="L1072"/>
  <c r="M1066"/>
  <c r="L1066"/>
  <c r="M1065"/>
  <c r="L1065"/>
  <c r="M1055"/>
  <c r="L1055"/>
  <c r="M1057"/>
  <c r="L1057"/>
  <c r="M1032"/>
  <c r="M1041"/>
  <c r="L1041"/>
  <c r="M1012"/>
  <c r="L1012"/>
  <c r="M1038"/>
  <c r="L1033"/>
  <c r="L1045"/>
  <c r="L1052"/>
  <c r="L1054"/>
  <c r="L1039"/>
  <c r="M1054" l="1"/>
  <c r="L1038"/>
  <c r="L1032"/>
  <c r="E1032"/>
  <c r="E1028"/>
  <c r="E1021"/>
  <c r="E1020"/>
  <c r="E882"/>
  <c r="R6" i="23"/>
  <c r="T41"/>
  <c r="S41"/>
  <c r="R41"/>
  <c r="T40"/>
  <c r="S40"/>
  <c r="R40"/>
  <c r="T39"/>
  <c r="S39"/>
  <c r="R39"/>
  <c r="T38"/>
  <c r="S38"/>
  <c r="R38"/>
  <c r="T37"/>
  <c r="S37"/>
  <c r="R37"/>
  <c r="T36"/>
  <c r="S36"/>
  <c r="R36"/>
  <c r="T35"/>
  <c r="S35"/>
  <c r="R35"/>
  <c r="T34"/>
  <c r="S34"/>
  <c r="R34"/>
  <c r="T33"/>
  <c r="S33"/>
  <c r="R33"/>
  <c r="T32"/>
  <c r="S32"/>
  <c r="R32"/>
  <c r="T31"/>
  <c r="S31"/>
  <c r="R31"/>
  <c r="T30"/>
  <c r="S30"/>
  <c r="R30"/>
  <c r="T29"/>
  <c r="S29"/>
  <c r="R29"/>
  <c r="T28"/>
  <c r="S28"/>
  <c r="R28"/>
  <c r="T27"/>
  <c r="S27"/>
  <c r="R27"/>
  <c r="T26"/>
  <c r="S26"/>
  <c r="R26"/>
  <c r="T25"/>
  <c r="S25"/>
  <c r="R25"/>
  <c r="T24"/>
  <c r="S24"/>
  <c r="R24"/>
  <c r="T23"/>
  <c r="S23"/>
  <c r="R23"/>
  <c r="T22"/>
  <c r="S22"/>
  <c r="R22"/>
  <c r="T21"/>
  <c r="S21"/>
  <c r="R21"/>
  <c r="T20"/>
  <c r="S20"/>
  <c r="R20"/>
  <c r="T19"/>
  <c r="S19"/>
  <c r="R19"/>
  <c r="T18"/>
  <c r="S18"/>
  <c r="R18"/>
  <c r="T17"/>
  <c r="S17"/>
  <c r="R17"/>
  <c r="T16"/>
  <c r="S16"/>
  <c r="R16"/>
  <c r="T15"/>
  <c r="S15"/>
  <c r="R15"/>
  <c r="T14"/>
  <c r="S14"/>
  <c r="R14"/>
  <c r="T13"/>
  <c r="S13"/>
  <c r="R13"/>
  <c r="T12"/>
  <c r="S12"/>
  <c r="R12"/>
  <c r="T11"/>
  <c r="S11"/>
  <c r="R11"/>
  <c r="T10"/>
  <c r="S10"/>
  <c r="R10"/>
  <c r="T9"/>
  <c r="S9"/>
  <c r="R9"/>
  <c r="T8"/>
  <c r="S8"/>
  <c r="R8"/>
  <c r="T7"/>
  <c r="S7"/>
  <c r="R7"/>
  <c r="T6"/>
  <c r="S6"/>
  <c r="A1" i="22" l="1"/>
  <c r="M1000" i="7"/>
  <c r="M983"/>
  <c r="M977"/>
  <c r="M926"/>
  <c r="M891"/>
  <c r="M853"/>
  <c r="M837"/>
  <c r="M828"/>
  <c r="M821"/>
  <c r="M790"/>
  <c r="M782"/>
  <c r="M763"/>
  <c r="M755"/>
  <c r="M754"/>
  <c r="M715"/>
  <c r="M664"/>
  <c r="M628"/>
  <c r="M577"/>
  <c r="M573"/>
  <c r="M566"/>
  <c r="M559"/>
  <c r="M557"/>
  <c r="M548"/>
  <c r="M502"/>
  <c r="M427"/>
  <c r="M395"/>
  <c r="M376"/>
  <c r="M374"/>
  <c r="M371"/>
  <c r="M368"/>
  <c r="M364"/>
  <c r="M363"/>
  <c r="M356"/>
  <c r="M255"/>
  <c r="M218"/>
  <c r="M81"/>
  <c r="M65"/>
  <c r="M64"/>
  <c r="M56"/>
  <c r="M54"/>
  <c r="M53"/>
  <c r="M49"/>
  <c r="M38"/>
  <c r="M37"/>
  <c r="M33"/>
  <c r="M31"/>
  <c r="M26"/>
  <c r="M22"/>
  <c r="M8"/>
  <c r="M45" i="22" l="1"/>
  <c r="C10"/>
  <c r="M46"/>
  <c r="M21"/>
  <c r="E989" i="7"/>
  <c r="L854"/>
  <c r="T10" i="20"/>
  <c r="J10"/>
  <c r="L996" i="7" l="1"/>
  <c r="L977"/>
  <c r="E981" l="1"/>
  <c r="O737" l="1"/>
  <c r="O695"/>
  <c r="E911"/>
  <c r="E856"/>
  <c r="E857"/>
  <c r="E858"/>
  <c r="E927"/>
  <c r="E928"/>
  <c r="E929"/>
  <c r="E896"/>
  <c r="E865"/>
  <c r="E930"/>
  <c r="E931"/>
  <c r="E932"/>
  <c r="E933"/>
  <c r="E917"/>
  <c r="E935"/>
  <c r="E936"/>
  <c r="E937"/>
  <c r="E938"/>
  <c r="E939"/>
  <c r="E940"/>
  <c r="E941"/>
  <c r="E942"/>
  <c r="E943"/>
  <c r="E944"/>
  <c r="E946"/>
  <c r="E945"/>
  <c r="E947"/>
  <c r="E948"/>
  <c r="E949"/>
  <c r="E951"/>
  <c r="E973"/>
  <c r="E952"/>
  <c r="E953"/>
  <c r="E954"/>
  <c r="E955"/>
  <c r="E956"/>
  <c r="E957"/>
  <c r="E958"/>
  <c r="E959"/>
  <c r="E960"/>
  <c r="E968"/>
  <c r="E965"/>
  <c r="E961"/>
  <c r="E966"/>
  <c r="E962"/>
  <c r="E963"/>
  <c r="E969"/>
  <c r="E970"/>
  <c r="E967"/>
  <c r="E964"/>
  <c r="E971"/>
  <c r="E974"/>
  <c r="E975"/>
  <c r="E976"/>
  <c r="E979"/>
  <c r="E980"/>
  <c r="E977"/>
  <c r="E985"/>
  <c r="E987"/>
  <c r="E988"/>
  <c r="E990"/>
  <c r="E982"/>
  <c r="E986"/>
  <c r="E983"/>
  <c r="E992"/>
  <c r="E993"/>
  <c r="E978"/>
  <c r="E996"/>
  <c r="E995"/>
  <c r="E994"/>
  <c r="E997"/>
  <c r="E999"/>
  <c r="E998"/>
  <c r="E1000"/>
  <c r="E1001"/>
  <c r="E1002"/>
  <c r="E1003"/>
  <c r="E984"/>
  <c r="E1004"/>
  <c r="E1005"/>
  <c r="E1006"/>
  <c r="E1007"/>
  <c r="E1008"/>
  <c r="E1009"/>
  <c r="E991"/>
  <c r="E881"/>
  <c r="E912"/>
  <c r="E950"/>
  <c r="E972"/>
  <c r="E1011"/>
  <c r="E1012"/>
  <c r="E1013"/>
  <c r="E1014"/>
  <c r="E1015"/>
  <c r="E1018"/>
  <c r="E1019"/>
  <c r="E1017"/>
  <c r="E1016"/>
  <c r="E1024"/>
  <c r="E1025"/>
  <c r="E1022"/>
  <c r="E1023"/>
  <c r="E1026"/>
  <c r="E1027"/>
  <c r="E1029"/>
  <c r="E1030"/>
  <c r="E1031"/>
  <c r="E1034"/>
  <c r="E1035"/>
  <c r="E1036"/>
  <c r="E1037"/>
  <c r="E1039"/>
  <c r="E1040"/>
  <c r="E1042"/>
  <c r="E1043"/>
  <c r="E1041"/>
  <c r="E1044"/>
  <c r="E1038"/>
  <c r="E1046"/>
  <c r="E1045"/>
  <c r="E1047"/>
  <c r="E1048"/>
  <c r="E1049"/>
  <c r="E1050"/>
  <c r="E1051"/>
  <c r="E1052"/>
  <c r="E1053"/>
  <c r="E1033"/>
  <c r="E1054"/>
  <c r="E1057"/>
  <c r="E1055"/>
  <c r="E1061"/>
  <c r="E1056"/>
  <c r="E1062"/>
  <c r="E1063"/>
  <c r="E1064"/>
  <c r="E1065"/>
  <c r="E1058"/>
  <c r="E1068"/>
  <c r="E1069"/>
  <c r="E1070"/>
  <c r="E1071"/>
  <c r="E1066"/>
  <c r="E1072"/>
  <c r="E1073"/>
  <c r="E1059"/>
  <c r="E1074"/>
  <c r="E1076"/>
  <c r="E1092"/>
  <c r="E1094"/>
  <c r="E1095"/>
  <c r="E1097"/>
  <c r="E1100"/>
  <c r="E1105"/>
  <c r="E1115"/>
  <c r="E1111"/>
  <c r="E1103"/>
  <c r="E1104"/>
  <c r="E1106"/>
  <c r="E1107"/>
  <c r="E1108"/>
  <c r="E1109"/>
  <c r="E1110"/>
  <c r="E1112"/>
  <c r="E1113"/>
  <c r="E1114"/>
  <c r="E1116"/>
  <c r="E1117"/>
  <c r="E1118"/>
  <c r="E1119"/>
  <c r="E1120"/>
  <c r="E1121"/>
  <c r="E1122"/>
  <c r="E1123"/>
  <c r="E1124"/>
  <c r="E1125"/>
  <c r="E1126"/>
  <c r="E1127"/>
  <c r="E1128"/>
  <c r="E1129"/>
  <c r="E1130"/>
  <c r="E1131"/>
  <c r="E1132"/>
  <c r="E1133"/>
  <c r="E1134"/>
  <c r="E1135"/>
  <c r="E1136"/>
  <c r="E1137"/>
  <c r="E1138"/>
  <c r="E1139"/>
  <c r="E1140"/>
  <c r="E1142"/>
  <c r="E1141"/>
  <c r="E1143"/>
  <c r="E1144"/>
  <c r="E1145"/>
  <c r="E1146"/>
  <c r="E1147"/>
  <c r="E1148"/>
  <c r="E1149"/>
  <c r="E1150"/>
  <c r="E1151"/>
  <c r="E1152"/>
  <c r="E1153"/>
  <c r="E1154"/>
  <c r="E1155"/>
  <c r="E1156"/>
  <c r="E1157"/>
  <c r="E1158"/>
  <c r="E1159"/>
  <c r="E1160"/>
  <c r="E1162"/>
  <c r="E1161"/>
  <c r="E1163"/>
  <c r="E1165"/>
  <c r="E1164"/>
  <c r="E1166"/>
  <c r="E1167"/>
  <c r="E1168"/>
  <c r="E1169"/>
  <c r="E1170"/>
  <c r="E1171"/>
  <c r="E1172"/>
  <c r="E1173"/>
  <c r="E1174"/>
  <c r="E1175"/>
  <c r="E1176"/>
  <c r="E1177"/>
  <c r="E1178"/>
  <c r="E1181"/>
  <c r="E1179"/>
  <c r="E1180"/>
  <c r="E1182"/>
  <c r="E1183"/>
  <c r="E1184"/>
  <c r="E1185"/>
  <c r="E1186"/>
  <c r="E1188"/>
  <c r="E1189"/>
  <c r="E1190"/>
  <c r="E1192"/>
  <c r="E1193"/>
  <c r="E1191"/>
  <c r="E1187"/>
  <c r="E1194"/>
  <c r="E1195"/>
  <c r="E1196"/>
  <c r="E1198"/>
  <c r="E1199"/>
  <c r="E1200"/>
  <c r="E1201"/>
  <c r="E1203"/>
  <c r="E1204"/>
  <c r="E1205"/>
  <c r="E1206"/>
  <c r="E1207"/>
  <c r="E1208"/>
  <c r="E1209"/>
  <c r="E1197"/>
  <c r="E1210"/>
  <c r="E1211"/>
  <c r="E1010"/>
  <c r="E1202"/>
  <c r="E1212"/>
  <c r="E1213"/>
  <c r="E1214"/>
  <c r="E1215"/>
  <c r="E1216"/>
  <c r="E1217"/>
  <c r="E1218"/>
  <c r="E1219"/>
  <c r="E1220"/>
  <c r="E1221"/>
  <c r="E1222"/>
  <c r="E1223"/>
  <c r="L915"/>
  <c r="L835" l="1"/>
  <c r="E817"/>
  <c r="L763"/>
  <c r="G16" i="22" l="1"/>
  <c r="C8"/>
  <c r="C9"/>
  <c r="C15"/>
  <c r="C16"/>
  <c r="M68"/>
  <c r="G68"/>
  <c r="M61"/>
  <c r="G61"/>
  <c r="M60"/>
  <c r="G60"/>
  <c r="R53"/>
  <c r="M53"/>
  <c r="G53"/>
  <c r="R46"/>
  <c r="G46"/>
  <c r="C46"/>
  <c r="R45"/>
  <c r="G45"/>
  <c r="R41"/>
  <c r="M41"/>
  <c r="G41"/>
  <c r="C39"/>
  <c r="C38"/>
  <c r="R34"/>
  <c r="M34"/>
  <c r="G34"/>
  <c r="R33"/>
  <c r="M33"/>
  <c r="G33"/>
  <c r="R28"/>
  <c r="M28"/>
  <c r="G28"/>
  <c r="C23"/>
  <c r="R21"/>
  <c r="G21"/>
  <c r="R20"/>
  <c r="M20"/>
  <c r="G20"/>
  <c r="R16"/>
  <c r="M16"/>
  <c r="R9"/>
  <c r="M9"/>
  <c r="G9"/>
  <c r="R8"/>
  <c r="M8"/>
  <c r="G8"/>
  <c r="CG19" i="20" l="1"/>
  <c r="CB19"/>
  <c r="BW19"/>
  <c r="BR19"/>
  <c r="BM19"/>
  <c r="BH19"/>
  <c r="BC19"/>
  <c r="AX19"/>
  <c r="AS19"/>
  <c r="AN19"/>
  <c r="AI19"/>
  <c r="AD19"/>
  <c r="Y19"/>
  <c r="T19"/>
  <c r="O19"/>
  <c r="J19"/>
  <c r="CG18"/>
  <c r="CB18"/>
  <c r="BW18"/>
  <c r="BR18"/>
  <c r="BM18"/>
  <c r="BH18"/>
  <c r="BC18"/>
  <c r="AX18"/>
  <c r="AS18"/>
  <c r="AN18"/>
  <c r="AI18"/>
  <c r="AD18"/>
  <c r="Y18"/>
  <c r="T18"/>
  <c r="O18"/>
  <c r="J18"/>
  <c r="CG17"/>
  <c r="CB17"/>
  <c r="BW17"/>
  <c r="BR17"/>
  <c r="BM17"/>
  <c r="BH17"/>
  <c r="BC17"/>
  <c r="AX17"/>
  <c r="AS17"/>
  <c r="AN17"/>
  <c r="AI17"/>
  <c r="AD17"/>
  <c r="Y17"/>
  <c r="T17"/>
  <c r="O17"/>
  <c r="J17"/>
  <c r="CG16"/>
  <c r="CB16"/>
  <c r="BW16"/>
  <c r="BR16"/>
  <c r="BM16"/>
  <c r="BH16"/>
  <c r="BC16"/>
  <c r="AX16"/>
  <c r="AS16"/>
  <c r="AN16"/>
  <c r="AI16"/>
  <c r="AD16"/>
  <c r="Y16"/>
  <c r="T16"/>
  <c r="O16"/>
  <c r="J16"/>
  <c r="CG15"/>
  <c r="CB15"/>
  <c r="BW15"/>
  <c r="BR15"/>
  <c r="BM15"/>
  <c r="BH15"/>
  <c r="BC15"/>
  <c r="AX15"/>
  <c r="AS15"/>
  <c r="AN15"/>
  <c r="AI15"/>
  <c r="AD15"/>
  <c r="Y15"/>
  <c r="T15"/>
  <c r="CG14"/>
  <c r="CB14"/>
  <c r="BW14"/>
  <c r="BR14"/>
  <c r="BM14"/>
  <c r="BH14"/>
  <c r="BC14"/>
  <c r="AX14"/>
  <c r="AS14"/>
  <c r="AN14"/>
  <c r="AI14"/>
  <c r="AD14"/>
  <c r="Y14"/>
  <c r="T14"/>
  <c r="O14"/>
  <c r="J14"/>
  <c r="CG13"/>
  <c r="CB13"/>
  <c r="BW13"/>
  <c r="BR13"/>
  <c r="BM13"/>
  <c r="BH13"/>
  <c r="BC13"/>
  <c r="AX13"/>
  <c r="AS13"/>
  <c r="AN13"/>
  <c r="AI13"/>
  <c r="AD13"/>
  <c r="Y13"/>
  <c r="T13"/>
  <c r="O13"/>
  <c r="J13"/>
  <c r="CG12"/>
  <c r="CB12"/>
  <c r="BW12"/>
  <c r="BR12"/>
  <c r="BM12"/>
  <c r="BH12"/>
  <c r="BC12"/>
  <c r="AX12"/>
  <c r="AS12"/>
  <c r="AN12"/>
  <c r="AI12"/>
  <c r="AD12"/>
  <c r="Y12"/>
  <c r="T12"/>
  <c r="O12"/>
  <c r="J12"/>
  <c r="CG11"/>
  <c r="CB11"/>
  <c r="BW11"/>
  <c r="BR11"/>
  <c r="BM11"/>
  <c r="BH11"/>
  <c r="BC11"/>
  <c r="AX11"/>
  <c r="AS11"/>
  <c r="AN11"/>
  <c r="AI11"/>
  <c r="AD11"/>
  <c r="Y11"/>
  <c r="T11"/>
  <c r="O11"/>
  <c r="J11"/>
  <c r="CG10"/>
  <c r="BW10"/>
  <c r="BR10"/>
  <c r="BM10"/>
  <c r="BH10"/>
  <c r="BC10"/>
  <c r="AX10"/>
  <c r="AS10"/>
  <c r="AN10"/>
  <c r="AI10"/>
  <c r="AD10"/>
  <c r="Y10"/>
  <c r="O10"/>
  <c r="CG9"/>
  <c r="CB9"/>
  <c r="BW9"/>
  <c r="BR9"/>
  <c r="BM9"/>
  <c r="BH9"/>
  <c r="BC9"/>
  <c r="AX9"/>
  <c r="AS9"/>
  <c r="AN9"/>
  <c r="AI9"/>
  <c r="AD9"/>
  <c r="Y9"/>
  <c r="T9"/>
  <c r="O9"/>
  <c r="J9"/>
  <c r="CG8"/>
  <c r="CB8"/>
  <c r="BW8"/>
  <c r="BR8"/>
  <c r="BM8"/>
  <c r="BH8"/>
  <c r="BC8"/>
  <c r="AX8"/>
  <c r="AS8"/>
  <c r="AN8"/>
  <c r="AI8"/>
  <c r="AD8"/>
  <c r="Y8"/>
  <c r="T8"/>
  <c r="O8"/>
  <c r="J8"/>
  <c r="M29" i="22" l="1"/>
  <c r="N26" s="1"/>
  <c r="M42"/>
  <c r="N38" s="1"/>
  <c r="R54"/>
  <c r="S47" s="1"/>
  <c r="C24"/>
  <c r="D22" s="1"/>
  <c r="C47"/>
  <c r="D41" s="1"/>
  <c r="M54"/>
  <c r="N51" s="1"/>
  <c r="M17"/>
  <c r="G17"/>
  <c r="H15" s="1"/>
  <c r="R17"/>
  <c r="G29"/>
  <c r="H23" s="1"/>
  <c r="R29"/>
  <c r="S24" s="1"/>
  <c r="S15" s="1"/>
  <c r="G42"/>
  <c r="H35" s="1"/>
  <c r="R42"/>
  <c r="S38" s="1"/>
  <c r="M69"/>
  <c r="G69"/>
  <c r="G54"/>
  <c r="L715" i="7"/>
  <c r="N11" i="22" l="1"/>
  <c r="N12"/>
  <c r="N13"/>
  <c r="N14"/>
  <c r="N15"/>
  <c r="N10"/>
  <c r="N23"/>
  <c r="N22"/>
  <c r="N36"/>
  <c r="N40"/>
  <c r="N39"/>
  <c r="N35"/>
  <c r="N37"/>
  <c r="S48"/>
  <c r="S49"/>
  <c r="D17"/>
  <c r="H40"/>
  <c r="D45"/>
  <c r="D21"/>
  <c r="H38"/>
  <c r="S52"/>
  <c r="D43"/>
  <c r="H39"/>
  <c r="S50"/>
  <c r="D19"/>
  <c r="S22"/>
  <c r="D20"/>
  <c r="N49"/>
  <c r="H37"/>
  <c r="N47"/>
  <c r="D18"/>
  <c r="S25"/>
  <c r="N52"/>
  <c r="S12"/>
  <c r="S51"/>
  <c r="H36"/>
  <c r="N27"/>
  <c r="N24"/>
  <c r="H11"/>
  <c r="H12"/>
  <c r="H14"/>
  <c r="N48"/>
  <c r="H10"/>
  <c r="N25"/>
  <c r="D42"/>
  <c r="H13"/>
  <c r="N50"/>
  <c r="H22"/>
  <c r="H25"/>
  <c r="H24"/>
  <c r="H27"/>
  <c r="S40"/>
  <c r="D44"/>
  <c r="S23"/>
  <c r="S10"/>
  <c r="S35"/>
  <c r="S27"/>
  <c r="S13"/>
  <c r="S36"/>
  <c r="S26"/>
  <c r="S11"/>
  <c r="S14"/>
  <c r="H26"/>
  <c r="S37"/>
  <c r="D40"/>
  <c r="S39"/>
  <c r="H66"/>
  <c r="H62"/>
  <c r="H51"/>
  <c r="N65"/>
  <c r="N64"/>
  <c r="N66"/>
  <c r="H64"/>
  <c r="H49"/>
  <c r="H63"/>
  <c r="H67"/>
  <c r="H52"/>
  <c r="H65"/>
  <c r="N63"/>
  <c r="H50"/>
  <c r="N62"/>
  <c r="N67"/>
  <c r="H47"/>
  <c r="H48"/>
  <c r="E617" i="7" l="1"/>
  <c r="E614"/>
  <c r="E619"/>
  <c r="E630"/>
  <c r="E631"/>
  <c r="E632"/>
  <c r="E629"/>
  <c r="E635"/>
  <c r="E636"/>
  <c r="E637"/>
  <c r="E638"/>
  <c r="E634"/>
  <c r="E639"/>
  <c r="E633"/>
  <c r="E640"/>
  <c r="E641"/>
  <c r="E642"/>
  <c r="E644"/>
  <c r="E647"/>
  <c r="E645"/>
  <c r="E646"/>
  <c r="E648"/>
  <c r="E649"/>
  <c r="E650"/>
  <c r="E651"/>
  <c r="E652"/>
  <c r="E643"/>
  <c r="E653"/>
  <c r="E745"/>
  <c r="E655"/>
  <c r="E657"/>
  <c r="E658"/>
  <c r="E659"/>
  <c r="E660"/>
  <c r="E661"/>
  <c r="E662"/>
  <c r="E664"/>
  <c r="E6"/>
  <c r="E665"/>
  <c r="E666"/>
  <c r="E667"/>
  <c r="E663"/>
  <c r="E656"/>
  <c r="E654"/>
  <c r="E668"/>
  <c r="E669"/>
  <c r="E670"/>
  <c r="E671"/>
  <c r="E672"/>
  <c r="E673"/>
  <c r="E676"/>
  <c r="E677"/>
  <c r="E678"/>
  <c r="E679"/>
  <c r="E693"/>
  <c r="E686"/>
  <c r="E682"/>
  <c r="E680"/>
  <c r="E681"/>
  <c r="E683"/>
  <c r="E685"/>
  <c r="E687"/>
  <c r="E688"/>
  <c r="E684"/>
  <c r="E695"/>
  <c r="E690"/>
  <c r="E691"/>
  <c r="E674"/>
  <c r="E692"/>
  <c r="E689"/>
  <c r="E694"/>
  <c r="E696"/>
  <c r="E697"/>
  <c r="E698"/>
  <c r="E700"/>
  <c r="E699"/>
  <c r="E701"/>
  <c r="E702"/>
  <c r="E703"/>
  <c r="E705"/>
  <c r="E706"/>
  <c r="E707"/>
  <c r="E708"/>
  <c r="E712"/>
  <c r="E709"/>
  <c r="E713"/>
  <c r="E714"/>
  <c r="E704"/>
  <c r="E710"/>
  <c r="E718"/>
  <c r="E675"/>
  <c r="E716"/>
  <c r="E719"/>
  <c r="E711"/>
  <c r="E717"/>
  <c r="E734"/>
  <c r="E721"/>
  <c r="E722"/>
  <c r="E723"/>
  <c r="E724"/>
  <c r="E726"/>
  <c r="E727"/>
  <c r="E725"/>
  <c r="E729"/>
  <c r="E730"/>
  <c r="E728"/>
  <c r="E732"/>
  <c r="E735"/>
  <c r="E736"/>
  <c r="E733"/>
  <c r="E737"/>
  <c r="E715"/>
  <c r="E720"/>
  <c r="E739"/>
  <c r="E740"/>
  <c r="E731"/>
  <c r="E741"/>
  <c r="E742"/>
  <c r="E738"/>
  <c r="E747"/>
  <c r="E744"/>
  <c r="E746"/>
  <c r="E748"/>
  <c r="E749"/>
  <c r="E750"/>
  <c r="E751"/>
  <c r="E752"/>
  <c r="E753"/>
  <c r="E755"/>
  <c r="E754"/>
  <c r="E756"/>
  <c r="E757"/>
  <c r="E758"/>
  <c r="E759"/>
  <c r="E760"/>
  <c r="E761"/>
  <c r="E762"/>
  <c r="E765"/>
  <c r="E766"/>
  <c r="E763"/>
  <c r="E767"/>
  <c r="E768"/>
  <c r="E769"/>
  <c r="E770"/>
  <c r="E771"/>
  <c r="E776"/>
  <c r="E772"/>
  <c r="E773"/>
  <c r="E774"/>
  <c r="E775"/>
  <c r="E764"/>
  <c r="E777"/>
  <c r="E783"/>
  <c r="E784"/>
  <c r="E786"/>
  <c r="E778"/>
  <c r="E922"/>
  <c r="E785"/>
  <c r="E779"/>
  <c r="E780"/>
  <c r="E793"/>
  <c r="E805"/>
  <c r="E790"/>
  <c r="E787"/>
  <c r="E781"/>
  <c r="E782"/>
  <c r="E788"/>
  <c r="E789"/>
  <c r="E791"/>
  <c r="E792"/>
  <c r="E794"/>
  <c r="E795"/>
  <c r="E806"/>
  <c r="E798"/>
  <c r="E807"/>
  <c r="E797"/>
  <c r="E809"/>
  <c r="E799"/>
  <c r="E800"/>
  <c r="E796"/>
  <c r="E802"/>
  <c r="E808"/>
  <c r="E810"/>
  <c r="E803"/>
  <c r="E804"/>
  <c r="E811"/>
  <c r="E822"/>
  <c r="E812"/>
  <c r="E801"/>
  <c r="E813"/>
  <c r="E818"/>
  <c r="E819"/>
  <c r="E820"/>
  <c r="E829"/>
  <c r="E823"/>
  <c r="E825"/>
  <c r="E814"/>
  <c r="E826"/>
  <c r="E837"/>
  <c r="E827"/>
  <c r="E838"/>
  <c r="E830"/>
  <c r="E815"/>
  <c r="E831"/>
  <c r="E832"/>
  <c r="E828"/>
  <c r="E833"/>
  <c r="E821"/>
  <c r="E834"/>
  <c r="E836"/>
  <c r="E824"/>
  <c r="E816"/>
  <c r="E840"/>
  <c r="E839"/>
  <c r="E835"/>
  <c r="E844"/>
  <c r="E845"/>
  <c r="E846"/>
  <c r="E841"/>
  <c r="E842"/>
  <c r="E847"/>
  <c r="E848"/>
  <c r="E849"/>
  <c r="E850"/>
  <c r="E851"/>
  <c r="E852"/>
  <c r="E843"/>
  <c r="E859"/>
  <c r="E860"/>
  <c r="E854"/>
  <c r="E862"/>
  <c r="E861"/>
  <c r="E863"/>
  <c r="E864"/>
  <c r="E866"/>
  <c r="E867"/>
  <c r="E868"/>
  <c r="E869"/>
  <c r="E870"/>
  <c r="E871"/>
  <c r="E891"/>
  <c r="E876"/>
  <c r="E872"/>
  <c r="E873"/>
  <c r="E874"/>
  <c r="E875"/>
  <c r="E878"/>
  <c r="E879"/>
  <c r="E880"/>
  <c r="E905"/>
  <c r="E877"/>
  <c r="E883"/>
  <c r="E885"/>
  <c r="E886"/>
  <c r="E887"/>
  <c r="E888"/>
  <c r="E889"/>
  <c r="E890"/>
  <c r="E893"/>
  <c r="E894"/>
  <c r="E895"/>
  <c r="E897"/>
  <c r="E892"/>
  <c r="E898"/>
  <c r="E899"/>
  <c r="E901"/>
  <c r="E902"/>
  <c r="E906"/>
  <c r="E907"/>
  <c r="E903"/>
  <c r="E904"/>
  <c r="E900"/>
  <c r="E908"/>
  <c r="E909"/>
  <c r="E915"/>
  <c r="E910"/>
  <c r="E913"/>
  <c r="E918"/>
  <c r="E919"/>
  <c r="E926"/>
  <c r="E884"/>
  <c r="E916"/>
  <c r="E914"/>
  <c r="E921"/>
  <c r="E923"/>
  <c r="E924"/>
  <c r="E925"/>
  <c r="E934"/>
  <c r="E920"/>
  <c r="E853"/>
  <c r="E855"/>
  <c r="E594"/>
  <c r="E591"/>
  <c r="E590"/>
  <c r="E566"/>
  <c r="E575"/>
  <c r="E578"/>
  <c r="E579"/>
  <c r="E582"/>
  <c r="E583"/>
  <c r="E585"/>
  <c r="E586"/>
  <c r="E587"/>
  <c r="E588"/>
  <c r="E580"/>
  <c r="E589"/>
  <c r="E592"/>
  <c r="E593"/>
  <c r="E597"/>
  <c r="E584"/>
  <c r="E595"/>
  <c r="E598"/>
  <c r="E600"/>
  <c r="E596"/>
  <c r="E605"/>
  <c r="E601"/>
  <c r="E608"/>
  <c r="E599"/>
  <c r="E602"/>
  <c r="E606"/>
  <c r="E607"/>
  <c r="E581"/>
  <c r="E603"/>
  <c r="E609"/>
  <c r="E610"/>
  <c r="E611"/>
  <c r="E612"/>
  <c r="E613"/>
  <c r="E618"/>
  <c r="E621"/>
  <c r="E623"/>
  <c r="E622"/>
  <c r="E624"/>
  <c r="E625"/>
  <c r="E620"/>
  <c r="E627"/>
  <c r="E626"/>
  <c r="E616"/>
  <c r="E628"/>
  <c r="E615"/>
  <c r="E576" l="1"/>
  <c r="E574" l="1"/>
  <c r="E553"/>
  <c r="E565"/>
  <c r="E560"/>
  <c r="E556"/>
  <c r="E554"/>
  <c r="E559"/>
  <c r="E551"/>
  <c r="E558"/>
  <c r="E563"/>
  <c r="E555"/>
  <c r="E564"/>
  <c r="E562"/>
  <c r="E549"/>
  <c r="E561"/>
  <c r="E550"/>
  <c r="E569"/>
  <c r="E568"/>
  <c r="E570"/>
  <c r="E567"/>
  <c r="E571"/>
  <c r="E572"/>
  <c r="E557"/>
  <c r="E573"/>
  <c r="E577"/>
  <c r="E743"/>
  <c r="E552"/>
  <c r="E542"/>
  <c r="L458" l="1"/>
  <c r="L484"/>
  <c r="L457"/>
  <c r="I8" i="17"/>
  <c r="I9"/>
  <c r="I10"/>
  <c r="I11"/>
  <c r="I12"/>
  <c r="I13"/>
  <c r="I14"/>
  <c r="I15"/>
  <c r="I16"/>
  <c r="I17"/>
  <c r="I18"/>
  <c r="I19"/>
  <c r="I20"/>
  <c r="I21"/>
  <c r="I22"/>
  <c r="I23"/>
  <c r="I24"/>
  <c r="I25"/>
  <c r="I26"/>
  <c r="I27"/>
  <c r="I28"/>
  <c r="I29"/>
  <c r="I30"/>
  <c r="I50"/>
  <c r="I51"/>
  <c r="I52"/>
  <c r="I53"/>
  <c r="I54"/>
  <c r="I55"/>
  <c r="I56"/>
  <c r="I57"/>
  <c r="I58"/>
  <c r="I59"/>
  <c r="I60"/>
  <c r="I61"/>
  <c r="I62"/>
  <c r="I63"/>
  <c r="I64"/>
  <c r="I65"/>
  <c r="I66"/>
  <c r="I67"/>
  <c r="I7"/>
  <c r="H50"/>
  <c r="G8"/>
  <c r="G9"/>
  <c r="G10"/>
  <c r="G11"/>
  <c r="G12"/>
  <c r="G13"/>
  <c r="G14"/>
  <c r="G15"/>
  <c r="G16"/>
  <c r="G17"/>
  <c r="G18"/>
  <c r="G19"/>
  <c r="G20"/>
  <c r="G21"/>
  <c r="G22"/>
  <c r="G23"/>
  <c r="G24"/>
  <c r="G25"/>
  <c r="G26"/>
  <c r="G27"/>
  <c r="G28"/>
  <c r="G29"/>
  <c r="G30"/>
  <c r="G50"/>
  <c r="G51"/>
  <c r="G52"/>
  <c r="G53"/>
  <c r="G54"/>
  <c r="G55"/>
  <c r="G56"/>
  <c r="G57"/>
  <c r="G58"/>
  <c r="G59"/>
  <c r="G60"/>
  <c r="G61"/>
  <c r="G62"/>
  <c r="G63"/>
  <c r="G64"/>
  <c r="G65"/>
  <c r="G66"/>
  <c r="G67"/>
  <c r="G68"/>
  <c r="G7"/>
  <c r="F8"/>
  <c r="F9"/>
  <c r="F10"/>
  <c r="F11"/>
  <c r="F12"/>
  <c r="F13"/>
  <c r="F14"/>
  <c r="F15"/>
  <c r="F16"/>
  <c r="F17"/>
  <c r="F18"/>
  <c r="F19"/>
  <c r="F20"/>
  <c r="F21"/>
  <c r="F22"/>
  <c r="F23"/>
  <c r="F24"/>
  <c r="F25"/>
  <c r="F26"/>
  <c r="F27"/>
  <c r="F28"/>
  <c r="H28" s="1"/>
  <c r="F29"/>
  <c r="H29" s="1"/>
  <c r="F30"/>
  <c r="F50"/>
  <c r="F51"/>
  <c r="H51"/>
  <c r="F52"/>
  <c r="H52"/>
  <c r="F53"/>
  <c r="H53"/>
  <c r="F54"/>
  <c r="F55"/>
  <c r="F56"/>
  <c r="F57"/>
  <c r="F58"/>
  <c r="F59"/>
  <c r="F60"/>
  <c r="F61"/>
  <c r="F62"/>
  <c r="F63"/>
  <c r="F64"/>
  <c r="F65"/>
  <c r="F7"/>
  <c r="F66"/>
  <c r="F67"/>
  <c r="F68"/>
  <c r="F69"/>
  <c r="F70"/>
  <c r="F71"/>
  <c r="F72"/>
  <c r="F73"/>
  <c r="E395" i="7"/>
  <c r="E433"/>
  <c r="E434"/>
  <c r="E435"/>
  <c r="E415"/>
  <c r="E438"/>
  <c r="E439"/>
  <c r="E440"/>
  <c r="E441"/>
  <c r="E442"/>
  <c r="E443"/>
  <c r="E444"/>
  <c r="E445"/>
  <c r="E446"/>
  <c r="E448"/>
  <c r="E449"/>
  <c r="E450"/>
  <c r="E447"/>
  <c r="E451"/>
  <c r="E452"/>
  <c r="E453"/>
  <c r="E454"/>
  <c r="E455"/>
  <c r="E456"/>
  <c r="E459"/>
  <c r="E457"/>
  <c r="E460"/>
  <c r="E462"/>
  <c r="E481"/>
  <c r="E482"/>
  <c r="E461"/>
  <c r="E397"/>
  <c r="E398"/>
  <c r="E399"/>
  <c r="E401"/>
  <c r="E402"/>
  <c r="E406"/>
  <c r="E408"/>
  <c r="E424"/>
  <c r="E403"/>
  <c r="E405"/>
  <c r="E466"/>
  <c r="E467"/>
  <c r="E468"/>
  <c r="E464"/>
  <c r="E465"/>
  <c r="E471"/>
  <c r="E470"/>
  <c r="E469"/>
  <c r="E472"/>
  <c r="E473"/>
  <c r="E474"/>
  <c r="E475"/>
  <c r="E476"/>
  <c r="E477"/>
  <c r="E478"/>
  <c r="E463"/>
  <c r="E479"/>
  <c r="E480"/>
  <c r="E483"/>
  <c r="E486"/>
  <c r="E487"/>
  <c r="E485"/>
  <c r="E490"/>
  <c r="E484"/>
  <c r="E491"/>
  <c r="E492"/>
  <c r="E493"/>
  <c r="E494"/>
  <c r="E495"/>
  <c r="E496"/>
  <c r="E497"/>
  <c r="E499"/>
  <c r="E498"/>
  <c r="E500"/>
  <c r="E502"/>
  <c r="E458"/>
  <c r="E489"/>
  <c r="E515"/>
  <c r="E513"/>
  <c r="E503"/>
  <c r="E504"/>
  <c r="E506"/>
  <c r="E507"/>
  <c r="E508"/>
  <c r="E509"/>
  <c r="E510"/>
  <c r="E501"/>
  <c r="E511"/>
  <c r="E512"/>
  <c r="E505"/>
  <c r="E514"/>
  <c r="E517"/>
  <c r="E518"/>
  <c r="E520"/>
  <c r="E521"/>
  <c r="E522"/>
  <c r="E523"/>
  <c r="E524"/>
  <c r="E516"/>
  <c r="E525"/>
  <c r="E519"/>
  <c r="E526"/>
  <c r="E527"/>
  <c r="E528"/>
  <c r="E530"/>
  <c r="E532"/>
  <c r="E533"/>
  <c r="E534"/>
  <c r="E535"/>
  <c r="E536"/>
  <c r="E537"/>
  <c r="E538"/>
  <c r="E539"/>
  <c r="E540"/>
  <c r="E541"/>
  <c r="E543"/>
  <c r="E546"/>
  <c r="E488"/>
  <c r="E547"/>
  <c r="E548"/>
  <c r="E529"/>
  <c r="E531"/>
  <c r="E544"/>
  <c r="E545"/>
  <c r="E420"/>
  <c r="E421"/>
  <c r="E426"/>
  <c r="E425"/>
  <c r="E427"/>
  <c r="E429"/>
  <c r="E410"/>
  <c r="E422"/>
  <c r="E423"/>
  <c r="E428"/>
  <c r="E255"/>
  <c r="E154"/>
  <c r="E155"/>
  <c r="E156"/>
  <c r="E157"/>
  <c r="E158"/>
  <c r="E159"/>
  <c r="E151"/>
  <c r="E160"/>
  <c r="E161"/>
  <c r="E163"/>
  <c r="E164"/>
  <c r="E166"/>
  <c r="E244"/>
  <c r="E239"/>
  <c r="E240"/>
  <c r="E230"/>
  <c r="E231"/>
  <c r="E218"/>
  <c r="E271"/>
  <c r="E279"/>
  <c r="E256"/>
  <c r="E237"/>
  <c r="E248"/>
  <c r="E254"/>
  <c r="E250"/>
  <c r="E143"/>
  <c r="E81"/>
  <c r="E9"/>
  <c r="E10"/>
  <c r="E12"/>
  <c r="E13"/>
  <c r="E14"/>
  <c r="E15"/>
  <c r="E7"/>
  <c r="E11"/>
  <c r="E16"/>
  <c r="E17"/>
  <c r="E18"/>
  <c r="E19"/>
  <c r="E20"/>
  <c r="E21"/>
  <c r="E23"/>
  <c r="E24"/>
  <c r="E27"/>
  <c r="E28"/>
  <c r="E29"/>
  <c r="E30"/>
  <c r="E8"/>
  <c r="E26"/>
  <c r="E31"/>
  <c r="E37"/>
  <c r="E33"/>
  <c r="E38"/>
  <c r="E22"/>
  <c r="E49"/>
  <c r="E53"/>
  <c r="E54"/>
  <c r="E56"/>
  <c r="E64"/>
  <c r="E65"/>
  <c r="E34"/>
  <c r="E35"/>
  <c r="E36"/>
  <c r="E25"/>
  <c r="E32"/>
  <c r="E39"/>
  <c r="E40"/>
  <c r="E41"/>
  <c r="E42"/>
  <c r="E43"/>
  <c r="E46"/>
  <c r="E50"/>
  <c r="E48"/>
  <c r="E57"/>
  <c r="E44"/>
  <c r="E52"/>
  <c r="E55"/>
  <c r="E58"/>
  <c r="E59"/>
  <c r="E60"/>
  <c r="E62"/>
  <c r="E63"/>
  <c r="E66"/>
  <c r="E69"/>
  <c r="E70"/>
  <c r="E61"/>
  <c r="E73"/>
  <c r="E84"/>
  <c r="E91"/>
  <c r="E74"/>
  <c r="E77"/>
  <c r="E72"/>
  <c r="E79"/>
  <c r="E80"/>
  <c r="E51"/>
  <c r="E92"/>
  <c r="E93"/>
  <c r="E88"/>
  <c r="E95"/>
  <c r="E96"/>
  <c r="E97"/>
  <c r="E100"/>
  <c r="E102"/>
  <c r="E103"/>
  <c r="E104"/>
  <c r="E107"/>
  <c r="E111"/>
  <c r="E115"/>
  <c r="E116"/>
  <c r="E118"/>
  <c r="E112"/>
  <c r="E47"/>
  <c r="E67"/>
  <c r="E68"/>
  <c r="E71"/>
  <c r="E75"/>
  <c r="E76"/>
  <c r="E45"/>
  <c r="E83"/>
  <c r="E85"/>
  <c r="E82"/>
  <c r="E86"/>
  <c r="E87"/>
  <c r="E89"/>
  <c r="E90"/>
  <c r="E94"/>
  <c r="E99"/>
  <c r="E98"/>
  <c r="E101"/>
  <c r="E105"/>
  <c r="E108"/>
  <c r="E110"/>
  <c r="E113"/>
  <c r="E114"/>
  <c r="E133"/>
  <c r="E109"/>
  <c r="E120"/>
  <c r="E117"/>
  <c r="E122"/>
  <c r="E106"/>
  <c r="E126"/>
  <c r="E135"/>
  <c r="E127"/>
  <c r="E129"/>
  <c r="E130"/>
  <c r="E131"/>
  <c r="E134"/>
  <c r="E136"/>
  <c r="E138"/>
  <c r="E141"/>
  <c r="E139"/>
  <c r="E142"/>
  <c r="E144"/>
  <c r="E146"/>
  <c r="E148"/>
  <c r="E152"/>
  <c r="E153"/>
  <c r="E147"/>
  <c r="E121"/>
  <c r="E123"/>
  <c r="E124"/>
  <c r="E125"/>
  <c r="E137"/>
  <c r="E119"/>
  <c r="E128"/>
  <c r="E140"/>
  <c r="E145"/>
  <c r="E132"/>
  <c r="E150"/>
  <c r="E162"/>
  <c r="E165"/>
  <c r="E167"/>
  <c r="E169"/>
  <c r="E171"/>
  <c r="E172"/>
  <c r="E173"/>
  <c r="E174"/>
  <c r="E175"/>
  <c r="E176"/>
  <c r="E170"/>
  <c r="E168"/>
  <c r="E177"/>
  <c r="E178"/>
  <c r="E179"/>
  <c r="E180"/>
  <c r="E181"/>
  <c r="E182"/>
  <c r="E183"/>
  <c r="E185"/>
  <c r="E186"/>
  <c r="E184"/>
  <c r="E187"/>
  <c r="E188"/>
  <c r="E189"/>
  <c r="E190"/>
  <c r="E191"/>
  <c r="E192"/>
  <c r="E193"/>
  <c r="E194"/>
  <c r="E195"/>
  <c r="E196"/>
  <c r="E197"/>
  <c r="E198"/>
  <c r="E199"/>
  <c r="E200"/>
  <c r="E201"/>
  <c r="E202"/>
  <c r="E203"/>
  <c r="E204"/>
  <c r="E205"/>
  <c r="E206"/>
  <c r="E207"/>
  <c r="E210"/>
  <c r="E208"/>
  <c r="E215"/>
  <c r="E221"/>
  <c r="E217"/>
  <c r="E211"/>
  <c r="E213"/>
  <c r="E224"/>
  <c r="E220"/>
  <c r="E222"/>
  <c r="E223"/>
  <c r="E225"/>
  <c r="E226"/>
  <c r="E227"/>
  <c r="E229"/>
  <c r="E219"/>
  <c r="E228"/>
  <c r="E232"/>
  <c r="E233"/>
  <c r="E234"/>
  <c r="E235"/>
  <c r="E236"/>
  <c r="E238"/>
  <c r="E241"/>
  <c r="E242"/>
  <c r="E214"/>
  <c r="E243"/>
  <c r="E245"/>
  <c r="E246"/>
  <c r="E247"/>
  <c r="E249"/>
  <c r="E251"/>
  <c r="E252"/>
  <c r="E253"/>
  <c r="E257"/>
  <c r="E216"/>
  <c r="E212"/>
  <c r="E604"/>
  <c r="E209"/>
  <c r="E259"/>
  <c r="E289"/>
  <c r="E292"/>
  <c r="E293"/>
  <c r="E296"/>
  <c r="E297"/>
  <c r="E298"/>
  <c r="E260"/>
  <c r="E261"/>
  <c r="E262"/>
  <c r="E263"/>
  <c r="E265"/>
  <c r="E266"/>
  <c r="E268"/>
  <c r="E270"/>
  <c r="E272"/>
  <c r="E273"/>
  <c r="E274"/>
  <c r="E275"/>
  <c r="E258"/>
  <c r="E280"/>
  <c r="E276"/>
  <c r="E269"/>
  <c r="E281"/>
  <c r="E282"/>
  <c r="E285"/>
  <c r="E288"/>
  <c r="E264"/>
  <c r="E286"/>
  <c r="E278"/>
  <c r="E287"/>
  <c r="E277"/>
  <c r="E290"/>
  <c r="E291"/>
  <c r="E284"/>
  <c r="E294"/>
  <c r="E299"/>
  <c r="E300"/>
  <c r="E301"/>
  <c r="E302"/>
  <c r="E303"/>
  <c r="E304"/>
  <c r="E307"/>
  <c r="E308"/>
  <c r="E295"/>
  <c r="E267"/>
  <c r="E318"/>
  <c r="E305"/>
  <c r="E306"/>
  <c r="E283"/>
  <c r="E310"/>
  <c r="E311"/>
  <c r="E312"/>
  <c r="E313"/>
  <c r="E334"/>
  <c r="E315"/>
  <c r="E314"/>
  <c r="E316"/>
  <c r="E317"/>
  <c r="E320"/>
  <c r="E319"/>
  <c r="E321"/>
  <c r="E322"/>
  <c r="E323"/>
  <c r="E324"/>
  <c r="E325"/>
  <c r="E326"/>
  <c r="E327"/>
  <c r="E309"/>
  <c r="E328"/>
  <c r="E329"/>
  <c r="E344"/>
  <c r="E343"/>
  <c r="E331"/>
  <c r="E330"/>
  <c r="E335"/>
  <c r="E332"/>
  <c r="E333"/>
  <c r="E336"/>
  <c r="E338"/>
  <c r="E348"/>
  <c r="E337"/>
  <c r="E339"/>
  <c r="E340"/>
  <c r="E341"/>
  <c r="E352"/>
  <c r="E349"/>
  <c r="E350"/>
  <c r="E347"/>
  <c r="E346"/>
  <c r="E342"/>
  <c r="E353"/>
  <c r="E351"/>
  <c r="E354"/>
  <c r="E355"/>
  <c r="E359"/>
  <c r="E361"/>
  <c r="E360"/>
  <c r="E362"/>
  <c r="E356"/>
  <c r="E363"/>
  <c r="E364"/>
  <c r="E365"/>
  <c r="E366"/>
  <c r="E367"/>
  <c r="E357"/>
  <c r="E358"/>
  <c r="E378"/>
  <c r="E368"/>
  <c r="E369"/>
  <c r="E370"/>
  <c r="E371"/>
  <c r="E372"/>
  <c r="E373"/>
  <c r="E374"/>
  <c r="E345"/>
  <c r="E375"/>
  <c r="E376"/>
  <c r="E377"/>
  <c r="E379"/>
  <c r="E380"/>
  <c r="E381"/>
  <c r="E384"/>
  <c r="E385"/>
  <c r="E383"/>
  <c r="E386"/>
  <c r="E387"/>
  <c r="E388"/>
  <c r="E149"/>
  <c r="E389"/>
  <c r="E390"/>
  <c r="E430"/>
  <c r="E431"/>
  <c r="E436"/>
  <c r="E437"/>
  <c r="E391"/>
  <c r="E382"/>
  <c r="E392"/>
  <c r="E393"/>
  <c r="E394"/>
  <c r="E396"/>
  <c r="E404"/>
  <c r="E407"/>
  <c r="E432"/>
  <c r="E409"/>
  <c r="E411"/>
  <c r="E412"/>
  <c r="E400"/>
  <c r="E413"/>
  <c r="E414"/>
  <c r="E416"/>
  <c r="E417"/>
  <c r="E418"/>
  <c r="E419"/>
  <c r="B106" i="3"/>
  <c r="D2"/>
  <c r="D3"/>
  <c r="D4"/>
  <c r="D5"/>
  <c r="D6"/>
  <c r="D7"/>
  <c r="D9"/>
  <c r="D10"/>
  <c r="D11"/>
  <c r="D12"/>
  <c r="D13"/>
  <c r="D14"/>
  <c r="D15"/>
  <c r="D17"/>
  <c r="D19"/>
  <c r="D20"/>
  <c r="D21"/>
  <c r="D22"/>
  <c r="D23"/>
  <c r="D24"/>
  <c r="D25"/>
  <c r="D26"/>
  <c r="D27"/>
  <c r="D28"/>
  <c r="D29"/>
  <c r="D30"/>
  <c r="D31"/>
  <c r="D32"/>
  <c r="D33"/>
  <c r="D34"/>
  <c r="D35"/>
  <c r="D36"/>
  <c r="D37"/>
  <c r="D38"/>
  <c r="D39"/>
  <c r="D40"/>
  <c r="D41"/>
  <c r="D42"/>
  <c r="D43"/>
  <c r="D44"/>
  <c r="D45"/>
  <c r="D46"/>
  <c r="D47"/>
  <c r="D48"/>
  <c r="D49"/>
  <c r="D50"/>
  <c r="D51"/>
  <c r="D52"/>
  <c r="D53"/>
  <c r="D54"/>
  <c r="D55"/>
  <c r="D56"/>
  <c r="D57"/>
  <c r="D58"/>
  <c r="D59"/>
  <c r="D60"/>
  <c r="D61"/>
  <c r="D62"/>
  <c r="D63"/>
  <c r="D64"/>
  <c r="D65"/>
  <c r="D66"/>
  <c r="D67"/>
  <c r="D68"/>
  <c r="D69"/>
  <c r="D70"/>
  <c r="D71"/>
  <c r="D72"/>
  <c r="D73"/>
  <c r="D74"/>
  <c r="D75"/>
  <c r="D76"/>
  <c r="D77"/>
  <c r="D78"/>
  <c r="D79"/>
  <c r="D80"/>
  <c r="D81"/>
  <c r="D82"/>
  <c r="D83"/>
  <c r="D84"/>
  <c r="D85"/>
  <c r="D90"/>
  <c r="D89"/>
  <c r="D87"/>
  <c r="D88"/>
  <c r="D86"/>
  <c r="D91"/>
  <c r="D92"/>
  <c r="D93"/>
  <c r="D96"/>
  <c r="D97"/>
  <c r="D122"/>
  <c r="D94"/>
  <c r="D95"/>
  <c r="D98"/>
  <c r="D99"/>
  <c r="D100"/>
  <c r="D101"/>
  <c r="D102"/>
  <c r="D103"/>
  <c r="D104"/>
  <c r="D107"/>
  <c r="D108"/>
  <c r="D110"/>
  <c r="D113"/>
  <c r="D114"/>
  <c r="D115"/>
  <c r="D117"/>
  <c r="D120"/>
  <c r="D121"/>
  <c r="D105"/>
  <c r="D109"/>
  <c r="D111"/>
  <c r="D118"/>
  <c r="D112"/>
  <c r="D116"/>
  <c r="D119"/>
  <c r="D106"/>
  <c r="D123"/>
  <c r="D124"/>
  <c r="D125"/>
  <c r="D126"/>
  <c r="D127"/>
  <c r="D128"/>
  <c r="D129"/>
  <c r="D130"/>
  <c r="D131"/>
  <c r="D132"/>
  <c r="D133"/>
  <c r="D134"/>
  <c r="D135"/>
  <c r="D136"/>
  <c r="D137"/>
  <c r="D138"/>
  <c r="D139"/>
  <c r="B2"/>
  <c r="B3"/>
  <c r="B4"/>
  <c r="B5"/>
  <c r="B6"/>
  <c r="B7"/>
  <c r="B9"/>
  <c r="B10"/>
  <c r="B11"/>
  <c r="B12"/>
  <c r="B13"/>
  <c r="B14"/>
  <c r="B15"/>
  <c r="B17"/>
  <c r="B19"/>
  <c r="B20"/>
  <c r="B21"/>
  <c r="B22"/>
  <c r="B23"/>
  <c r="B24"/>
  <c r="B25"/>
  <c r="B26"/>
  <c r="B27"/>
  <c r="B28"/>
  <c r="B29"/>
  <c r="B30"/>
  <c r="B32"/>
  <c r="B33"/>
  <c r="B34"/>
  <c r="B35"/>
  <c r="B36"/>
  <c r="B37"/>
  <c r="B38"/>
  <c r="B39"/>
  <c r="B40"/>
  <c r="B41"/>
  <c r="B42"/>
  <c r="B43"/>
  <c r="B44"/>
  <c r="B45"/>
  <c r="B46"/>
  <c r="B47"/>
  <c r="B48"/>
  <c r="B49"/>
  <c r="B50"/>
  <c r="B51"/>
  <c r="B52"/>
  <c r="B53"/>
  <c r="B54"/>
  <c r="B55"/>
  <c r="B56"/>
  <c r="B57"/>
  <c r="B58"/>
  <c r="B59"/>
  <c r="B60"/>
  <c r="B61"/>
  <c r="B62"/>
  <c r="B63"/>
  <c r="B64"/>
  <c r="B65"/>
  <c r="B66"/>
  <c r="B67"/>
  <c r="B68"/>
  <c r="B69"/>
  <c r="B70"/>
  <c r="B71"/>
  <c r="B72"/>
  <c r="B73"/>
  <c r="B74"/>
  <c r="B75"/>
  <c r="B76"/>
  <c r="B77"/>
  <c r="B78"/>
  <c r="B79"/>
  <c r="B80"/>
  <c r="B81"/>
  <c r="B82"/>
  <c r="B83"/>
  <c r="B84"/>
  <c r="B85"/>
  <c r="B90"/>
  <c r="B89"/>
  <c r="B87"/>
  <c r="B88"/>
  <c r="B86"/>
  <c r="B91"/>
  <c r="B92"/>
  <c r="B93"/>
  <c r="B96"/>
  <c r="B97"/>
  <c r="B122"/>
  <c r="B94"/>
  <c r="B95"/>
  <c r="B98"/>
  <c r="B99"/>
  <c r="B100"/>
  <c r="B101"/>
  <c r="B102"/>
  <c r="B103"/>
  <c r="B104"/>
  <c r="B107"/>
  <c r="B108"/>
  <c r="B110"/>
  <c r="B113"/>
  <c r="B114"/>
  <c r="B115"/>
  <c r="B117"/>
  <c r="B120"/>
  <c r="B121"/>
  <c r="B105"/>
  <c r="B109"/>
  <c r="B111"/>
  <c r="B118"/>
  <c r="B112"/>
  <c r="B116"/>
  <c r="B119"/>
  <c r="B123"/>
  <c r="B124"/>
  <c r="B125"/>
  <c r="B126"/>
  <c r="B127"/>
  <c r="B128"/>
  <c r="B129"/>
  <c r="B130"/>
  <c r="B131"/>
  <c r="B132"/>
  <c r="B133"/>
  <c r="B134"/>
  <c r="B135"/>
  <c r="B136"/>
  <c r="B137"/>
  <c r="B138"/>
  <c r="B139"/>
  <c r="D166" i="17"/>
  <c r="C151"/>
  <c r="D152"/>
  <c r="D164"/>
  <c r="E160"/>
  <c r="C141"/>
  <c r="E159"/>
  <c r="C150"/>
  <c r="E158"/>
  <c r="D150"/>
  <c r="E165"/>
  <c r="E173"/>
  <c r="D162"/>
  <c r="D174"/>
  <c r="D173"/>
  <c r="C144"/>
  <c r="D175"/>
  <c r="D163"/>
  <c r="E162"/>
  <c r="D153"/>
  <c r="E163"/>
  <c r="D149"/>
  <c r="D160"/>
  <c r="C146"/>
  <c r="C149"/>
  <c r="E177"/>
  <c r="D148"/>
  <c r="C143"/>
  <c r="D151"/>
  <c r="E174"/>
  <c r="D145"/>
  <c r="C145"/>
  <c r="E161"/>
  <c r="D159"/>
  <c r="D158"/>
  <c r="C148"/>
  <c r="D144"/>
  <c r="D147"/>
  <c r="E176"/>
  <c r="E166"/>
  <c r="D161"/>
  <c r="D165"/>
  <c r="C153"/>
  <c r="D146"/>
  <c r="D167"/>
  <c r="C152"/>
  <c r="C147"/>
  <c r="E164"/>
  <c r="D141"/>
  <c r="E175"/>
  <c r="D172"/>
  <c r="D176"/>
  <c r="D142"/>
  <c r="E172"/>
  <c r="C142"/>
  <c r="E167"/>
  <c r="D143"/>
  <c r="D177"/>
  <c r="H20" l="1"/>
  <c r="H9"/>
  <c r="H12"/>
  <c r="H27"/>
  <c r="H21"/>
  <c r="H13"/>
  <c r="H19"/>
  <c r="H24"/>
  <c r="H16"/>
  <c r="H11"/>
  <c r="H18"/>
  <c r="H25"/>
  <c r="H26"/>
  <c r="H10"/>
  <c r="H7"/>
  <c r="H22"/>
  <c r="H30"/>
  <c r="H14"/>
  <c r="H17"/>
  <c r="H23"/>
  <c r="H15"/>
  <c r="H8"/>
  <c r="E141"/>
  <c r="F141"/>
  <c r="E142"/>
  <c r="F142"/>
  <c r="E146"/>
  <c r="F146"/>
  <c r="E149"/>
  <c r="F149"/>
  <c r="E148"/>
  <c r="F148"/>
  <c r="E147"/>
  <c r="F147"/>
  <c r="G166"/>
  <c r="F166"/>
  <c r="G165"/>
  <c r="F165"/>
  <c r="G164"/>
  <c r="F164"/>
  <c r="G161"/>
  <c r="F161"/>
  <c r="G163"/>
  <c r="F163"/>
  <c r="G175"/>
  <c r="F175"/>
  <c r="G173"/>
  <c r="F173"/>
  <c r="G172"/>
  <c r="F172"/>
  <c r="F151"/>
  <c r="E151"/>
  <c r="F145"/>
  <c r="E145"/>
  <c r="F150"/>
  <c r="E150"/>
  <c r="F144"/>
  <c r="E144"/>
  <c r="F153"/>
  <c r="E153"/>
  <c r="F152"/>
  <c r="E152"/>
  <c r="F143"/>
  <c r="E143"/>
  <c r="F158"/>
  <c r="G158"/>
  <c r="F162"/>
  <c r="G162"/>
  <c r="F160"/>
  <c r="G160"/>
  <c r="F159"/>
  <c r="G159"/>
  <c r="F167"/>
  <c r="G167"/>
  <c r="F177"/>
  <c r="G177"/>
  <c r="F174"/>
  <c r="G174"/>
  <c r="F176"/>
  <c r="G176"/>
  <c r="G144" l="1"/>
  <c r="G153"/>
  <c r="G152"/>
  <c r="G143"/>
  <c r="G150"/>
  <c r="G151"/>
  <c r="G147"/>
  <c r="G148"/>
  <c r="G149"/>
  <c r="G146"/>
  <c r="G142"/>
  <c r="G141"/>
  <c r="H172"/>
  <c r="H173"/>
  <c r="H175"/>
  <c r="H176"/>
  <c r="H174"/>
  <c r="H177"/>
  <c r="H167"/>
  <c r="H159"/>
  <c r="H160"/>
  <c r="H162"/>
  <c r="H158"/>
  <c r="H163"/>
  <c r="H161"/>
  <c r="H164"/>
  <c r="H165"/>
  <c r="H166"/>
</calcChain>
</file>

<file path=xl/sharedStrings.xml><?xml version="1.0" encoding="utf-8"?>
<sst xmlns="http://schemas.openxmlformats.org/spreadsheetml/2006/main" count="7688" uniqueCount="2733">
  <si>
    <t>Date</t>
  </si>
  <si>
    <t>Section</t>
  </si>
  <si>
    <t>Type d'intervention</t>
  </si>
  <si>
    <t>Machine</t>
  </si>
  <si>
    <t>Code</t>
  </si>
  <si>
    <t>Partie Machine</t>
  </si>
  <si>
    <t>Intervention</t>
  </si>
  <si>
    <t>Résultat</t>
  </si>
  <si>
    <t>Réglage</t>
  </si>
  <si>
    <t>Cisaille</t>
  </si>
  <si>
    <t>Réglage de la pression de l'air pour l'ajustement des cames de la cisaille</t>
  </si>
  <si>
    <t>Came ajustée
Machine opérationelle</t>
  </si>
  <si>
    <t>Réparation</t>
  </si>
  <si>
    <t>Cassette PR 3,20</t>
  </si>
  <si>
    <t>Nettoyage, démontage de la cassette  3,20 - changement des roulement endommagés</t>
  </si>
  <si>
    <t>Cassette opérationnelle</t>
  </si>
  <si>
    <t>Contrôle</t>
  </si>
  <si>
    <t>Groupe hydraulique</t>
  </si>
  <si>
    <t xml:space="preserve">Rajout d'huile hydraulique </t>
  </si>
  <si>
    <t>Niveau d'huile corrigé</t>
  </si>
  <si>
    <t>Eclairage</t>
  </si>
  <si>
    <t>Détection du court circuit au niveau du circuit d'alimentation des ampoules se situant au dessus du malaxeur, changement des fils endommagé.</t>
  </si>
  <si>
    <t>Eclairage en bon état</t>
  </si>
  <si>
    <t>Confection</t>
  </si>
  <si>
    <t>Electrodes</t>
  </si>
  <si>
    <t>Découpe +perçage des électrode en cuivre</t>
  </si>
  <si>
    <t>Préparation de 14 électrodes en cuivre prêtes à l'emploi</t>
  </si>
  <si>
    <t>Vidange</t>
  </si>
  <si>
    <t>Mélangeur</t>
  </si>
  <si>
    <t xml:space="preserve">Vidange du réducteur du mélangeur </t>
  </si>
  <si>
    <t>Réducteur vidangé</t>
  </si>
  <si>
    <t>Grue à tour</t>
  </si>
  <si>
    <t>Treuil principal</t>
  </si>
  <si>
    <t>Diagnostic : Mesure d'isolement +mesure de continuité du motofrein montée descente</t>
  </si>
  <si>
    <t>Enroulement de la bobine du frein coupé
- Démontage prévu: 01/02/2019 + Transmission vers CEDP pour réparation</t>
  </si>
  <si>
    <t>Elimination d'une fuite d'huile au niveau de la cisaille : changement d'un flexible hydraulique</t>
  </si>
  <si>
    <t>Fuite éliminée</t>
  </si>
  <si>
    <t>Découpe + surfaçage des électrodes en cuivre</t>
  </si>
  <si>
    <t>Préparation de 20 éléctrodes en cuivres</t>
  </si>
  <si>
    <t>Moule</t>
  </si>
  <si>
    <t>Changement du vérin du moule ( le premier avait une fuite au niveau du raccord)</t>
  </si>
  <si>
    <t>Fuite éliminée 
Vérin monté</t>
  </si>
  <si>
    <t>Descenseur</t>
  </si>
  <si>
    <t>Tension des chaines du descenseur</t>
  </si>
  <si>
    <t>Chaines tendue</t>
  </si>
  <si>
    <t>Cercleuse</t>
  </si>
  <si>
    <t xml:space="preserve">Soufflage des cercleuses et nettoyage de la tete chauffante </t>
  </si>
  <si>
    <t xml:space="preserve">Cercleuse opérationnelle </t>
  </si>
  <si>
    <t>Alimentation générale</t>
  </si>
  <si>
    <t>Réarmement du disjoncteur général ( le disjoncteur est tombé à cause d'une collision entre deux ponts roulants)</t>
  </si>
  <si>
    <t>Disjoncteur réarmé - pont roulant opérationnel</t>
  </si>
  <si>
    <t>Circuit de refroidissement</t>
  </si>
  <si>
    <t>Changement d'un flexible de refroidissement</t>
  </si>
  <si>
    <t>Circuit de refroidissement en bon état</t>
  </si>
  <si>
    <t>Vidange de la fosse séptique</t>
  </si>
  <si>
    <t>Fosse séptique vidangée
La taille de la fosse est très petite environ 10 metre cube</t>
  </si>
  <si>
    <t>Silo à ciment</t>
  </si>
  <si>
    <t>Montage des pièces du réducteur des vis à ciment</t>
  </si>
  <si>
    <t>Réducteur opérationel prêt à l'emploie</t>
  </si>
  <si>
    <t>Démontage</t>
  </si>
  <si>
    <t>Démontage du frein endommagé de la grue à tour</t>
  </si>
  <si>
    <t>Attente CEDP pour réparation</t>
  </si>
  <si>
    <t>Cassette PR 8</t>
  </si>
  <si>
    <t>Changement de 6 roulement 32008 partie crantée + Zoomage</t>
  </si>
  <si>
    <t>Cassette opérationelle</t>
  </si>
  <si>
    <t>Bobinoir</t>
  </si>
  <si>
    <t>Changement des boulons de fixation du bobinoir ( boulons endomagés)</t>
  </si>
  <si>
    <t>Elimination d'une fuite au niveau du réducteur  du mélangeur</t>
  </si>
  <si>
    <t>Fuite éliminée 
-Bruit anormal au niveau du réducteur
Prévoir un arrêt pour vérification du réducteur</t>
  </si>
  <si>
    <t>Devidoir</t>
  </si>
  <si>
    <t>Réglage du potentiométre du devidoir + changement des silents blocs du danseur</t>
  </si>
  <si>
    <t>Machine opérationelle</t>
  </si>
  <si>
    <t>Guide fil</t>
  </si>
  <si>
    <t>Dressage des barres du guides fils</t>
  </si>
  <si>
    <t>Moteur de levage</t>
  </si>
  <si>
    <t>Montage du frein (Monté-Descente)</t>
  </si>
  <si>
    <t>Pont roulant opérationel</t>
  </si>
  <si>
    <t>Découpe électrodes en cuivre</t>
  </si>
  <si>
    <t>10 électrodes prêtes pour le surfaçage</t>
  </si>
  <si>
    <t>RAS</t>
  </si>
  <si>
    <t>Changement des nécessaires du vérin du moule</t>
  </si>
  <si>
    <t>Vérin prêt à l'emploi</t>
  </si>
  <si>
    <t>Réparation du circuit électrique de commande</t>
  </si>
  <si>
    <t>Débouchage du circuit de refroidissement du cabestan</t>
  </si>
  <si>
    <t>Intervention d'un plombier nécessaire (prévu le 07/02/2019)</t>
  </si>
  <si>
    <t>Débouchage du circtuit de refroidissement de la cassette PR8</t>
  </si>
  <si>
    <t>Rénnovation</t>
  </si>
  <si>
    <t xml:space="preserve">Début des travaux de changement des plaques translucides </t>
  </si>
  <si>
    <t>Travaux en cours</t>
  </si>
  <si>
    <t>Vibreur</t>
  </si>
  <si>
    <t>Extraction d'une vis + taraudage du support du vibreur</t>
  </si>
  <si>
    <t>Table élévatrice</t>
  </si>
  <si>
    <t>Changement d'un pignon tendeur de la chaine de la table élévatrice</t>
  </si>
  <si>
    <t>Cassette PR 10</t>
  </si>
  <si>
    <t>Changement de 6 roulement  partie crantée de la cassette PR10</t>
  </si>
  <si>
    <t xml:space="preserve">Réparation </t>
  </si>
  <si>
    <t>Changement des roulements du réducteur du mélangeur + Changement des roulement du support de pales + Vidange du réducteur</t>
  </si>
  <si>
    <t>Travaux en cours - Disponibilité de la machine prévu le 07/02/2019 à 10H</t>
  </si>
  <si>
    <t>Bloc de soudure</t>
  </si>
  <si>
    <t>Perçage + taraudage du support de fixation des électrodes du sabot de soudage</t>
  </si>
  <si>
    <t>Sabot opérationnel</t>
  </si>
  <si>
    <t>Changement</t>
  </si>
  <si>
    <t>Changement d'un flexible de refroidissement endommagé</t>
  </si>
  <si>
    <t>Circuit RAS</t>
  </si>
  <si>
    <t>Pilon</t>
  </si>
  <si>
    <t>Changement de l'axe de fixation du vérin du pilon</t>
  </si>
  <si>
    <t>Machine opérationnelle</t>
  </si>
  <si>
    <t xml:space="preserve">Montage de la vis sans fin + l'écrou en bronze de la table élévatrice </t>
  </si>
  <si>
    <t>Perçage + taraudage du support de fixation des distributeurs pneumatiques de la cisaille</t>
  </si>
  <si>
    <t>Machine OP</t>
  </si>
  <si>
    <t>Fin des travaux au niveau du mélangeur</t>
  </si>
  <si>
    <t xml:space="preserve">Changement </t>
  </si>
  <si>
    <t>Malaxeur</t>
  </si>
  <si>
    <t>Changement des pales de pates du malaxeur</t>
  </si>
  <si>
    <t>Sortie presse</t>
  </si>
  <si>
    <t>Soudage des courroies thermosoudables sortie presse +  Montage</t>
  </si>
  <si>
    <t>Cabestan n°4</t>
  </si>
  <si>
    <t>Début des travaux sur le moteur du cabestan n°4</t>
  </si>
  <si>
    <t>Jeu au niveau de la poulie du moteur - usure de l'arbre moteur probable - Démontage en cours</t>
  </si>
  <si>
    <t>Dépannage</t>
  </si>
  <si>
    <t>intervention du plombier pour le débouchage du circuit de refroidissement du cabestan</t>
  </si>
  <si>
    <t xml:space="preserve">circuit provisoirement débouché - Changement de la canalisation prévu ( selon la disponibilité du plombier) </t>
  </si>
  <si>
    <t>Pince</t>
  </si>
  <si>
    <t>Changement du moteur monté descente de la pince</t>
  </si>
  <si>
    <t>Moteur monté provisoirement en attendant l'achat d'un moteur plus compatible (achat prévu le 09/02/2019)</t>
  </si>
  <si>
    <t>Purge</t>
  </si>
  <si>
    <t>Adjuvant</t>
  </si>
  <si>
    <t>Purge du circuit d'alimentation de l'adjuvant</t>
  </si>
  <si>
    <t>Circuit purgé machine opérationnelle</t>
  </si>
  <si>
    <t>Circuit d'air comprimé</t>
  </si>
  <si>
    <t>Réparation de l'electrovanne de distibution de l'air comprimé</t>
  </si>
  <si>
    <t>Changement des joints interne du vérin pneumatique de mouvement de la cisaille</t>
  </si>
  <si>
    <t>Changement D'une prise rapide pneumatique du dévidoir</t>
  </si>
  <si>
    <t xml:space="preserve">Montage du moteur monté descente de la pince marque neri motori </t>
  </si>
  <si>
    <t>Machine opérationnelle nécessité de commander un moteur de marque ABB conformément à la conception initiale du constructeur</t>
  </si>
  <si>
    <t>Changement du flexible hydraulique du pilon suite à une fuite au niveau du sertissage de celui-ci</t>
  </si>
  <si>
    <t xml:space="preserve">Fuite éliminée </t>
  </si>
  <si>
    <t>Diagnostic</t>
  </si>
  <si>
    <t>Lance trame</t>
  </si>
  <si>
    <t>Recherche de  l'anomalie qui cause la décéleration du moteur d'amenée des fils de trame</t>
  </si>
  <si>
    <t>Fils d'alimentation comprimés par le chassis de la machine, attente de résultat après liberation de ceux-ci</t>
  </si>
  <si>
    <t>Démontage du frein monté descente cramé</t>
  </si>
  <si>
    <t>Réclamation prévu le lundi 11/02/2019 au près de CEDP pour explication le frein en question a été monté le 04/02/2019</t>
  </si>
  <si>
    <t>Poulie et disque d'embrayage mis à dispostion du tourneur pour réparation</t>
  </si>
  <si>
    <t>En attente de livraison relance 11/02/2019</t>
  </si>
  <si>
    <t>Préparation</t>
  </si>
  <si>
    <t xml:space="preserve">Soudage des courroies thermosoudables sortie presse </t>
  </si>
  <si>
    <t>2 Courroies disponibles en stock</t>
  </si>
  <si>
    <t>Extraction des vis des cales de guidage du moule + montage de vis neuves</t>
  </si>
  <si>
    <t>Réarmement du disjoncteur général</t>
  </si>
  <si>
    <t>Moteur tir fil</t>
  </si>
  <si>
    <t>Isolation de fils électriques</t>
  </si>
  <si>
    <t>Poste de soudage</t>
  </si>
  <si>
    <t>Changement d'un commutateur</t>
  </si>
  <si>
    <t>Poste de soudage opérationnel</t>
  </si>
  <si>
    <t>Elimination d'un manque de phase</t>
  </si>
  <si>
    <t>Transformateur n°6</t>
  </si>
  <si>
    <t>Changement du transformateur de soudage n°6</t>
  </si>
  <si>
    <t>Confection de 4 electrodes PN1</t>
  </si>
  <si>
    <t>4 électrodes disponibles en stock</t>
  </si>
  <si>
    <t>Changement d'un cable de soudage du porte électrode</t>
  </si>
  <si>
    <t>Perçage taraudage porte électrode</t>
  </si>
  <si>
    <t>Pompe à graisse</t>
  </si>
  <si>
    <t>Entretien de la pompe à graisse</t>
  </si>
  <si>
    <t>Cassete PR3,40</t>
  </si>
  <si>
    <t xml:space="preserve">Démontage de la cassette 3,40 </t>
  </si>
  <si>
    <t>Réparation prévu le 12/02/2019</t>
  </si>
  <si>
    <t>Montage de la poulie + disque de frein + courroie + tension des courroie du moteur du cabestan n°4</t>
  </si>
  <si>
    <t>Table guide fil</t>
  </si>
  <si>
    <t>Remise à niveau de la table</t>
  </si>
  <si>
    <t>Extraction d'une vis + taraudage M12 au niveau du bloc</t>
  </si>
  <si>
    <t xml:space="preserve">Confection de 22 électrode en cuivre </t>
  </si>
  <si>
    <t>22 électrodes disponibles</t>
  </si>
  <si>
    <t>Rectification</t>
  </si>
  <si>
    <t>Réctification de 4 sabot porte électrode</t>
  </si>
  <si>
    <t>Sabots réctifiés</t>
  </si>
  <si>
    <t>Table vibrante</t>
  </si>
  <si>
    <t>Isolation du cable d'alimentation du moteur de la table vibrante ( élimination d'un court circuit)</t>
  </si>
  <si>
    <t>Changement de la tôle de la table vibrante</t>
  </si>
  <si>
    <t>Enrouleur</t>
  </si>
  <si>
    <t>Changement de la porte de l'enrouleur</t>
  </si>
  <si>
    <t>Armoire électrique</t>
  </si>
  <si>
    <t>Changement d'un relais à broche de mise en marche des variateurs</t>
  </si>
  <si>
    <t>Cassette PR3,40</t>
  </si>
  <si>
    <t xml:space="preserve">Changement de 4 roulement 32008 </t>
  </si>
  <si>
    <t>Changement des silents blocs de la barre</t>
  </si>
  <si>
    <t>Réctification de 2 sabots porte électrode</t>
  </si>
  <si>
    <t>Montage</t>
  </si>
  <si>
    <t>Cassette PR3,20</t>
  </si>
  <si>
    <t>Changement d'un flexible de graissage</t>
  </si>
  <si>
    <t>Dégrippage de la fixation du porte électrode</t>
  </si>
  <si>
    <t>Cassette PR5</t>
  </si>
  <si>
    <t>Changement du support porte électrode -vérin</t>
  </si>
  <si>
    <t>Changement du cable de soudure</t>
  </si>
  <si>
    <t>Extraction d'une vis + taraudage</t>
  </si>
  <si>
    <t>Système de guidage</t>
  </si>
  <si>
    <t>Démontage d'un pignon et d'un galet de guidage</t>
  </si>
  <si>
    <t>En attente de confection chez tourneur</t>
  </si>
  <si>
    <t>Réclamation au près de CEDP pour explication. le frein en question a été monté et remonté plusieurs fois</t>
  </si>
  <si>
    <t>Montage d'un frein neuf + mise en place de nouveaux trous taraudés de fixation</t>
  </si>
  <si>
    <t>RAS en attente de résultats</t>
  </si>
  <si>
    <t xml:space="preserve">Cercleuse 08 </t>
  </si>
  <si>
    <t>Réglage de l'embrayage</t>
  </si>
  <si>
    <t>Changement du flexible hydraulique du vérin du moule (endommagé de la partie sertie)</t>
  </si>
  <si>
    <t>Tiroir d'agitation</t>
  </si>
  <si>
    <t>Changement de 3 galet + 6 roulement pour modification de diametre 3,40</t>
  </si>
  <si>
    <t>Manitou MC 30</t>
  </si>
  <si>
    <t>Caterpillar</t>
  </si>
  <si>
    <t>Fosse séptique</t>
  </si>
  <si>
    <t>Usine</t>
  </si>
  <si>
    <t>Gestion de stock</t>
  </si>
  <si>
    <t>Cassette PR8</t>
  </si>
  <si>
    <t>Cassette PR3,5</t>
  </si>
  <si>
    <t>Nettoyage + changement de 4 roulements</t>
  </si>
  <si>
    <t>Changement de deux axes plongeurs</t>
  </si>
  <si>
    <t>Réparation du mouffle +changement du cable antigiratoire</t>
  </si>
  <si>
    <t>Partie de soudage</t>
  </si>
  <si>
    <t>Changement du vérin de soudage</t>
  </si>
  <si>
    <t>Changement de 4 roulement 32008 + flexible d'eau</t>
  </si>
  <si>
    <t>Panne moteur dispositif amené FT</t>
  </si>
  <si>
    <t>Changement de 4 roulement 32008</t>
  </si>
  <si>
    <t>Démontage du moteur réducteur endommagé</t>
  </si>
  <si>
    <t xml:space="preserve">Attente d'achat d'un nouveau moteur réducteur </t>
  </si>
  <si>
    <t>Démontage du moteur de guidage pour rebobinage</t>
  </si>
  <si>
    <t>Démontage du distributeur pneumatique du guide fil endommagé</t>
  </si>
  <si>
    <t>Attente d'achat d'un nouveau distributeur</t>
  </si>
  <si>
    <t>Cercleuse 06</t>
  </si>
  <si>
    <t>Changement de la résistance chauffante</t>
  </si>
  <si>
    <t>Transbordeur</t>
  </si>
  <si>
    <t>Soudage du galet de guidage sur l'arbe principal</t>
  </si>
  <si>
    <t>Étiquettes de lignes</t>
  </si>
  <si>
    <t>(vide)</t>
  </si>
  <si>
    <t>Total général</t>
  </si>
  <si>
    <t>(Tous)</t>
  </si>
  <si>
    <t>Soudage de la grille d'agitation</t>
  </si>
  <si>
    <t>Prévoir le changement de celle-ci</t>
  </si>
  <si>
    <t>Prevoir la confection d'un nouvel arbre</t>
  </si>
  <si>
    <t>Grille d'agitation</t>
  </si>
  <si>
    <t>Changement de la grille et du jeu d'agitation prévu le 16/03/2019</t>
  </si>
  <si>
    <t>Changement de 4 roulements 32008</t>
  </si>
  <si>
    <t>Soudage de la traverse droite de la table vibrante</t>
  </si>
  <si>
    <t>Changement de l'electrovanne d'alimentation en eau</t>
  </si>
  <si>
    <t>Preévoir l'achat d'une nouvelle électrovanne</t>
  </si>
  <si>
    <t>Skip</t>
  </si>
  <si>
    <t>Changement d'un roulement de galet</t>
  </si>
  <si>
    <t>Elimination d'une fuite au niveau du raccord du vérin du moule</t>
  </si>
  <si>
    <t>Panne moteur dispositif amené FT ( problème</t>
  </si>
  <si>
    <t>Remise du cable antigiratoire sur le truil principal</t>
  </si>
  <si>
    <t>Changement des tiges de fixation du moteur de levage</t>
  </si>
  <si>
    <t>Changement de 3 tige d'assemblage du bobinoir</t>
  </si>
  <si>
    <t>Prévoir la confection de tige d'assemblage</t>
  </si>
  <si>
    <t>Montage d'un refroidisseur à radiateur au niveau du groupe hydraulique</t>
  </si>
  <si>
    <t>Amélioration</t>
  </si>
  <si>
    <t>La température enregistrée est de 37° au niveau de la pompe et 35° sur tous les autres organes</t>
  </si>
  <si>
    <t>Mise en place d'un écran LCD à la place de l'ecran tactile de commande de la machine</t>
  </si>
  <si>
    <t>Prévoir l'achat d'un nouvel écran</t>
  </si>
  <si>
    <t>Pupitre de commande</t>
  </si>
  <si>
    <t>Chnagement de 4 courroie de distribution</t>
  </si>
  <si>
    <t>TA (min)</t>
  </si>
  <si>
    <t>Montage d'un distributeur avec adaptation des branchements</t>
  </si>
  <si>
    <t>Attente réception du distributeur d'origine de chez eurolls</t>
  </si>
  <si>
    <t>Changemene de 4 roulements 32008</t>
  </si>
  <si>
    <t>Convoyeur a béton</t>
  </si>
  <si>
    <t>Changement du tendeur du réducteur</t>
  </si>
  <si>
    <t>hafi</t>
  </si>
  <si>
    <t>Attente livraison du pont de diode du moteur de levage</t>
  </si>
  <si>
    <t xml:space="preserve">Fixation du vérin pneumatique </t>
  </si>
  <si>
    <t>Extraction d'une vis +degrippage du support de fixation</t>
  </si>
  <si>
    <t>Presse</t>
  </si>
  <si>
    <t>Changement du moteur de vibration</t>
  </si>
  <si>
    <t>Calage de la table vibrante</t>
  </si>
  <si>
    <t>Changement des roulement de l'injecteur de planche</t>
  </si>
  <si>
    <t>Injecteur de planche</t>
  </si>
  <si>
    <t>changement de l'axe de fixation du vérin du moule</t>
  </si>
  <si>
    <t>Changement du joint da la vanne d'alimmentation du circuit d'adjuvant</t>
  </si>
  <si>
    <t>Serrage des fixations du frein moteur</t>
  </si>
  <si>
    <t>Attente achat moteur réducteur Poyatos (import)</t>
  </si>
  <si>
    <t>Deblocage du silo 7</t>
  </si>
  <si>
    <t>Rénovation</t>
  </si>
  <si>
    <t>Date début</t>
  </si>
  <si>
    <t>Détail Intervention</t>
  </si>
  <si>
    <t>Réclamation / problème</t>
  </si>
  <si>
    <t>Observations / Avancement</t>
  </si>
  <si>
    <t>Essai</t>
  </si>
  <si>
    <t>An</t>
  </si>
  <si>
    <t>Mois</t>
  </si>
  <si>
    <t>Nombre de Détail Intervention</t>
  </si>
  <si>
    <t>ARM</t>
  </si>
  <si>
    <t>Type</t>
  </si>
  <si>
    <t>CODE Véhicule</t>
  </si>
  <si>
    <t>Marque</t>
  </si>
  <si>
    <t>Matricule</t>
  </si>
  <si>
    <t>Semi remorque</t>
  </si>
  <si>
    <t>Liste code véhicules</t>
  </si>
  <si>
    <t>Camion</t>
  </si>
  <si>
    <t>Partie véhicule</t>
  </si>
  <si>
    <t>Véhicule</t>
  </si>
  <si>
    <t>981-A-73</t>
  </si>
  <si>
    <t>10551-A-73</t>
  </si>
  <si>
    <t xml:space="preserve"> 9660 -A-73</t>
  </si>
  <si>
    <t>50313-A-6</t>
  </si>
  <si>
    <t>18516-A-73</t>
  </si>
  <si>
    <t>P</t>
  </si>
  <si>
    <t>changement d'elingue de levage des palettes</t>
  </si>
  <si>
    <t>C</t>
  </si>
  <si>
    <t>equippement d'engin par galet de securité et plaque d'en panne</t>
  </si>
  <si>
    <t xml:space="preserve">vidange d'huile moteur 15W40  341057 km </t>
  </si>
  <si>
    <t>changement du gilet de securité</t>
  </si>
  <si>
    <t xml:space="preserve">changement d'eixtincteur </t>
  </si>
  <si>
    <t>changement du trampette d'essieu arriere complet a cause 
d'endommagement du cote roullement  coté gauche ( achat du laferaille )</t>
  </si>
  <si>
    <t>changement du support de ventilateur de refroidissemen 
moteur avec roullement ref 58554</t>
  </si>
  <si>
    <t xml:space="preserve">réparation d'eclairage et changemet des lampes </t>
  </si>
  <si>
    <t>réparation du probleme de direction assisté</t>
  </si>
  <si>
    <t xml:space="preserve">embrayage </t>
  </si>
  <si>
    <t>réparation et réglage du jeu d'embrayage 
purge du circuit d'huile</t>
  </si>
  <si>
    <t>entretien et vidange</t>
  </si>
  <si>
    <t xml:space="preserve">réparation du probléme de démarrage </t>
  </si>
  <si>
    <t>réparation du probleme de démarrage du moteur et changement des filtres et 
netoyage du reservoire de gasoil</t>
  </si>
  <si>
    <t>changement des quatre pneus ref 12R22,5</t>
  </si>
  <si>
    <t xml:space="preserve">réparation du probleme d'eclairage </t>
  </si>
  <si>
    <t xml:space="preserve">changement du bouchon de gasoil </t>
  </si>
  <si>
    <t xml:space="preserve">vidange d'huile moteur et changement di filtre  a huile et gasoil 
lavage et graissage generale d'engin  
réparation du fuuite d'air comprimé
lavage et graissage generale d'engin </t>
  </si>
  <si>
    <t>c</t>
  </si>
  <si>
    <t>montage des auto coulant</t>
  </si>
  <si>
    <t>changement du came de réglage frein cote arriere droit du tracteur et 
optique avant droit</t>
  </si>
  <si>
    <t>changement du kit d'embrayage complet (disque ,plateau et butée )
changement du support cardon 
changement du pompe d'embrayege inferieur
vidange d'huile moteur et pontarriere et boite de vitesse 
576773 km</t>
  </si>
  <si>
    <t xml:space="preserve">réparation des element de susponsion </t>
  </si>
  <si>
    <t>pneu</t>
  </si>
  <si>
    <t xml:space="preserve">réparation du crevaison pneu par meche de réparation </t>
  </si>
  <si>
    <t>vidange d'huile moteur et changement dufiltre a huile</t>
  </si>
  <si>
    <t xml:space="preserve">réparation du probleme de démarrage  </t>
  </si>
  <si>
    <t>réparation du probleme de freinage du roue arriere gauche et
 réglage du roue arriere droit et 
réparation du levier de vitesse</t>
  </si>
  <si>
    <t>changement du deux pneu ref 205/75R15</t>
  </si>
  <si>
    <t>montage du système de GPS</t>
  </si>
  <si>
    <t>fuite d'air</t>
  </si>
  <si>
    <t>réparation du fuite d'air</t>
  </si>
  <si>
    <t>changement du support de cardon 
vidange d'huile moteur et boite de vitesse et pont arriere 
changeent du filtre a ahuile et filtre a gasoil 
cangement du filtre a air 
458477 km</t>
  </si>
  <si>
    <t>fuite d'air 
réparation d'eclairage et changement des lampes</t>
  </si>
  <si>
    <t>réparation du fixation du monchon de cardon de transmission</t>
  </si>
  <si>
    <t>réparation du crevaison pneu ref 315/80R22,5</t>
  </si>
  <si>
    <t>réparation d'eclairage</t>
  </si>
  <si>
    <t>réparation du tondeur du courroie et
 changement de courroie de d'alternateur</t>
  </si>
  <si>
    <t>mise a niveau d'huile hydraulique</t>
  </si>
  <si>
    <t>réparation du probleme de mache avant arriere
mise a niveau d'huile hydraulique</t>
  </si>
  <si>
    <t>vidange d'huilemoteur 15W40
lavage tet graissage generale d'engin</t>
  </si>
  <si>
    <t>changement du kit réparation d'axe fusee</t>
  </si>
  <si>
    <t xml:space="preserve">changement du brosse de netoyage 
changement battrie de démarrage + courroie de ventulateur +vidange d'huile moteur et changeent du filtre a huile + gasoil+ hydraulique 
répartion et soudage du goudet de netoyage </t>
  </si>
  <si>
    <t>changement des lampes</t>
  </si>
  <si>
    <t>changement du deux battrie de démarrage L5 12V</t>
  </si>
  <si>
    <t>changement du battrie ref L5 12V</t>
  </si>
  <si>
    <t>changement des cosses battrie et mise a niveau d'eau de battrie 
changement du cope conique ( régularisation du facture )</t>
  </si>
  <si>
    <t>réparation du crevaaison pneu ref 315/80R22,5</t>
  </si>
  <si>
    <t>réparation du freinage et changement des plaquettes de frein et jeu de garniture de frein
deux disque de frein avant avec moyeude roue avant droit 
garniture de frein arriere des arrét de graisse 
démarreur complet 
vidange d'huile de boite de vitessse et pont arriere et moteur 
changement des filtre a huile et filtre a gasoile et filtre a air 
788300km</t>
  </si>
  <si>
    <t xml:space="preserve">pneu </t>
  </si>
  <si>
    <t>vidange systematique</t>
  </si>
  <si>
    <t>chngement des vis de fixation plateau sur chassis</t>
  </si>
  <si>
    <t xml:space="preserve">peinture generale d'engin 
changement des pieces de carosserie 
réparation d'eclairage </t>
  </si>
  <si>
    <t>mise a niveau d'huile moteur 15W40</t>
  </si>
  <si>
    <t xml:space="preserve">réparation d'alternateur de charge battrie 
mise a niveau d'eau de battrie </t>
  </si>
  <si>
    <t>changement du deux jeu egarniture de frein avant et arriere</t>
  </si>
  <si>
    <t>réparation d crevaison pneu ref 11R22,5</t>
  </si>
  <si>
    <t xml:space="preserve">réparation d'eclairage  </t>
  </si>
  <si>
    <t>réparation du probleme de tachygraphe</t>
  </si>
  <si>
    <t>vidange d'huile moteur 15W40   
lavage et graissag generale d'engin</t>
  </si>
  <si>
    <t xml:space="preserve">Mise a niveau </t>
  </si>
  <si>
    <t>N BS</t>
  </si>
  <si>
    <t>Rappel</t>
  </si>
  <si>
    <t>N Fiche 
d'intervention</t>
  </si>
  <si>
    <t xml:space="preserve">réparation d'eclairage et changemet des lampes 
</t>
  </si>
  <si>
    <t>réparation du fuite au niveau du pompe a eau 
vidange d'huile moteur 15W40</t>
  </si>
  <si>
    <t>vidange d'huile moteur 15w40 ET R2PARATION DU FUITE DE GASOIL</t>
  </si>
  <si>
    <t xml:space="preserve">réparation du ponleme de démarrage </t>
  </si>
  <si>
    <t xml:space="preserve">réparation d'eclairage </t>
  </si>
  <si>
    <t>changement du solinoide de démarrage moteur (achat du laferaille )</t>
  </si>
  <si>
    <t>changement du boite vitesse endomage a cause d'usure du 
pompe a huile de graissage 
changement du convertisseur hydraulique
achat du leferaille 
changement des galet de levage des fourches
vidange d'huile moteur 15W40 et changement du filtre a huile</t>
  </si>
  <si>
    <t>vidange d'huile moteur 15W40
lavage et graissage generale d'engin</t>
  </si>
  <si>
    <t>vidange d'huile moteur 15W40
changement du filltre a huile 2654403
 et filtre a gasoil 2651117
lavage et graissage generale d'engin</t>
  </si>
  <si>
    <t>réparation du fuite d'huile et changement du flexible hydraulique 
de levage des fourches</t>
  </si>
  <si>
    <t>Vidange d'huile moteur 15W40
réparation des fuite d'huile hydraulique 
lavage generale d'engin</t>
  </si>
  <si>
    <t>141276
141327
141319</t>
  </si>
  <si>
    <t xml:space="preserve">répaération du probleme au niveau d"essieu arriere et 
changement des roullement a galet des roue
vidanged'huile moteur 15W40
changement du filtre a gasoil 
</t>
  </si>
  <si>
    <t xml:space="preserve">réparation du probleme de démarrage et changement d'alternateur d e charge battrie 
</t>
  </si>
  <si>
    <t>141290
141295</t>
  </si>
  <si>
    <t>changement des lampes d'eclairage</t>
  </si>
  <si>
    <t>mise a niveau dhuile hydraulique AW68</t>
  </si>
  <si>
    <t>142322
142325</t>
  </si>
  <si>
    <t xml:space="preserve">Accessoire </t>
  </si>
  <si>
    <t>Air comprimé</t>
  </si>
  <si>
    <t>Carosserie</t>
  </si>
  <si>
    <t>Système electrique</t>
  </si>
  <si>
    <t xml:space="preserve">Chassis </t>
  </si>
  <si>
    <t xml:space="preserve">Contrôle </t>
  </si>
  <si>
    <t>Pneu</t>
  </si>
  <si>
    <t>Entretien</t>
  </si>
  <si>
    <t xml:space="preserve">Embrayage </t>
  </si>
  <si>
    <t>Direction assisté</t>
  </si>
  <si>
    <t>Forche de levage</t>
  </si>
  <si>
    <t xml:space="preserve">Freinage </t>
  </si>
  <si>
    <t>Grue de levage</t>
  </si>
  <si>
    <t>Transmission</t>
  </si>
  <si>
    <t>Mécanique</t>
  </si>
  <si>
    <t>Moteur</t>
  </si>
  <si>
    <t xml:space="preserve">Roue arriere </t>
  </si>
  <si>
    <t>Tachygraphe</t>
  </si>
  <si>
    <t>vidange d'huile moteur15W40  et changement du filtre a huile + gasoil vidange d'huile de boite de vitesse et pont arriere km</t>
  </si>
  <si>
    <t>70352-A-6</t>
  </si>
  <si>
    <t xml:space="preserve">17885-A-73 </t>
  </si>
  <si>
    <t xml:space="preserve">17886-A-73 </t>
  </si>
  <si>
    <t>68125-A-6</t>
  </si>
  <si>
    <t>28661-D-1</t>
  </si>
  <si>
    <t>706-A-73</t>
  </si>
  <si>
    <t xml:space="preserve">28659-D-1 </t>
  </si>
  <si>
    <t>4703-A-73</t>
  </si>
  <si>
    <t xml:space="preserve">4969-A-73 </t>
  </si>
  <si>
    <t xml:space="preserve"> 11469-A-73</t>
  </si>
  <si>
    <t>11470-A-73</t>
  </si>
  <si>
    <t>25636-A-13</t>
  </si>
  <si>
    <t>4790-B-8</t>
  </si>
  <si>
    <t>26128-A-8</t>
  </si>
  <si>
    <t xml:space="preserve"> 22128-W-6</t>
  </si>
  <si>
    <t>Balayeuse</t>
  </si>
  <si>
    <t>Bobcat</t>
  </si>
  <si>
    <t>Bus de transport</t>
  </si>
  <si>
    <t xml:space="preserve">Hyundai County </t>
  </si>
  <si>
    <t>Hyundai County</t>
  </si>
  <si>
    <t>22772-A-73</t>
  </si>
  <si>
    <t>Chargeur</t>
  </si>
  <si>
    <t>HYUNDAI H100</t>
  </si>
  <si>
    <t>Pick up</t>
  </si>
  <si>
    <t>Voiture de fonction</t>
  </si>
  <si>
    <t>Berlingo</t>
  </si>
  <si>
    <t>ISUZU</t>
  </si>
  <si>
    <t>Mitsubishi</t>
  </si>
  <si>
    <t>Renault</t>
  </si>
  <si>
    <t>Chariot elevateur</t>
  </si>
  <si>
    <t>Fenwick HD30</t>
  </si>
  <si>
    <t>Fenwick  H40</t>
  </si>
  <si>
    <t>Fenwick LINDE 25</t>
  </si>
  <si>
    <t>Linde H25d</t>
  </si>
  <si>
    <t>Linde H30</t>
  </si>
  <si>
    <t>Linde H30D</t>
  </si>
  <si>
    <t>Manitou M26-2</t>
  </si>
  <si>
    <t>22368-A-73</t>
  </si>
  <si>
    <t>MAN</t>
  </si>
  <si>
    <t>VOLVO</t>
  </si>
  <si>
    <t>4812-A-73</t>
  </si>
  <si>
    <t>-</t>
  </si>
  <si>
    <t>22299-A-73</t>
  </si>
  <si>
    <t>22300-A-73</t>
  </si>
  <si>
    <t>changement du deux pneu ref 10R22,5
vidange systematieque et changement des filtres</t>
  </si>
  <si>
    <t>changement  du pompe a eau
tarage des injecteur 
changement des joint d'etanchiete
vidange d'huile moteur</t>
  </si>
  <si>
    <t>réparation du déarreur et changement du bendix de démarrage 
réparation du pompe de direction 
vidange d'huile moteur</t>
  </si>
  <si>
    <t>vidange generale d'engin et changement des filtre</t>
  </si>
  <si>
    <t>mise a niveau d'huile hydraulique
vidange d'huile moteur et changement du filtre a huile te gasoil</t>
  </si>
  <si>
    <t xml:space="preserve">réparation du probleme de démarrage 
vidange d'huile moteur et changement du filtre a huile
</t>
  </si>
  <si>
    <t>moteur</t>
  </si>
  <si>
    <t>démontage des injecteur pour tarage et réparation 
réparation du joint de refrigerant moteur 
réparation du radiateur et changement du radiateur d'eau 
réparation du tachygraphe 
vidange d'huile moteur et changement du filtre a huile et filtre a gasoil</t>
  </si>
  <si>
    <t>142305
143110
142349
142343
142305
142367</t>
  </si>
  <si>
    <t xml:space="preserve">réglage du jeu de frein 
montage du boit de pharmacie 
des auto coulant </t>
  </si>
  <si>
    <t>Date fin d'intervention</t>
  </si>
  <si>
    <t xml:space="preserve">changement du kit d'embrayage complet 
réparation d'alternateur de charge battrie </t>
  </si>
  <si>
    <t>142339
142342</t>
  </si>
  <si>
    <t xml:space="preserve">réparation d'eclairage et changemùment des lampes </t>
  </si>
  <si>
    <t>réparation du probleme de freinage (réparation en exterieure du sté )</t>
  </si>
  <si>
    <t>changement du deux pneu ref 11R22,5</t>
  </si>
  <si>
    <t xml:space="preserve">changement du courroie de distribution moteur avec tondeur 
changement du courrie d'accessoires aevc tondeur 
vidange d'hule moteur 15W40
changement du filtre a huile et filtre a gasoil et filtre a air 
paralellisme d'essieu avant 
</t>
  </si>
  <si>
    <t>143117
143143
143144</t>
  </si>
  <si>
    <t>changement du courooie de charge battrie 
et réparation du fuite de gasoil</t>
  </si>
  <si>
    <t xml:space="preserve">vidange d'huile moteur 
lavage et graissaged'engin </t>
  </si>
  <si>
    <t xml:space="preserve">réparation d'eclairage et changement des fusibles a lame </t>
  </si>
  <si>
    <t>vidange d'huile moteur 15W40
lavage et graissage generale d'engin
changement du flexible hydraulique percé</t>
  </si>
  <si>
    <t>143131
143134</t>
  </si>
  <si>
    <t>dacia khalil</t>
  </si>
  <si>
    <t>42174A6</t>
  </si>
  <si>
    <t>142344
142314
142315
142121
143200
143177
133351
143359
143388
143365
142338
142335
142326
143164
142345</t>
  </si>
  <si>
    <t>34200
60 jours</t>
  </si>
  <si>
    <t>changement du pare brise endommagee pare plaque de plexyglace</t>
  </si>
  <si>
    <t>changement du deu battrie de démarrage et des cosses battrie 
soudage du scaisse d'outillge</t>
  </si>
  <si>
    <t>143356
143361</t>
  </si>
  <si>
    <t>renouvlement du certificat de tachygraphe</t>
  </si>
  <si>
    <t xml:space="preserve">changement du comodo de feu de signale </t>
  </si>
  <si>
    <t xml:space="preserve">signalisation </t>
  </si>
  <si>
    <t>143374
143377</t>
  </si>
  <si>
    <t>changement du plaque d'ennpanne endommage
changement du deux pneu ref 10R22,5</t>
  </si>
  <si>
    <t>réparation du fuite d'air comprimée</t>
  </si>
  <si>
    <t>143383
143382</t>
  </si>
  <si>
    <t>vidange d'huile moteur 15W40
lavage et graissage generale d'engin
changement du filtre a huile 
et filtre a gasoil</t>
  </si>
  <si>
    <t>changement d</t>
  </si>
  <si>
    <t xml:space="preserve">réparation d'alternateur de charge battrie 
changement du jeu de charbon et réparation du retor </t>
  </si>
  <si>
    <t>143109
143102</t>
  </si>
  <si>
    <t xml:space="preserve">cravaison pneu </t>
  </si>
  <si>
    <t xml:space="preserve">réparation du crevaison pneu </t>
  </si>
  <si>
    <t>143105
143107</t>
  </si>
  <si>
    <t xml:space="preserve">fuite d'huile hydraulique </t>
  </si>
  <si>
    <t>changement du filtre hydraulique WP724
Mise a niveau d'huile hydraulique AW68</t>
  </si>
  <si>
    <t>143111
143112</t>
  </si>
  <si>
    <t xml:space="preserve">réparation du fixation d'aile de roue </t>
  </si>
  <si>
    <t>en cour</t>
  </si>
  <si>
    <t>reéparation du fuite du gaz d'echappement et changement du pompe a eau
mise a niveau d'huile hydraulique</t>
  </si>
  <si>
    <t>143353
143381
143384
143376</t>
  </si>
  <si>
    <t>réparation des fuites et changement du kit réparation du distributeur hydraulique et des joints de pompe hydraulique 
vidange d'huile moteur 15W40</t>
  </si>
  <si>
    <t>143370
143379
143389
143387</t>
  </si>
  <si>
    <t xml:space="preserve">vidange d'huile ooteur 15W40
lavage et graisssage generale d'engin 
reparation du fixation de </t>
  </si>
  <si>
    <t>vidange d'huile moteur 15W40
changement du filtre a huile et filtre a gasoil</t>
  </si>
  <si>
    <t>p</t>
  </si>
  <si>
    <t>vidange d'huile moteur et changement du filtre a huile et filtre a gasoil</t>
  </si>
  <si>
    <t>linde siege</t>
  </si>
  <si>
    <t xml:space="preserve">changement du kit réparation d'axe pivot et axe fusée coté gauche et droit 
changemnt du kit réparation du verin de levage  et inclinaison et verin de direction 
kit de distributeur  d'accelerateur 
des goujon de roue arriere 
peinture generale d'engin 
vidange d'huile moteur et changement des filtres  a huile moteur et filtre a gasoil 
</t>
  </si>
  <si>
    <t>levage des fourches</t>
  </si>
  <si>
    <t>réparation du levier de levge de fourches et hangement du croisillon de levage et des rotules</t>
  </si>
  <si>
    <t>144534
145211</t>
  </si>
  <si>
    <t xml:space="preserve">démarrage </t>
  </si>
  <si>
    <t xml:space="preserve">réparation du probleme de démarage et du lefage des fourches </t>
  </si>
  <si>
    <t xml:space="preserve">vidang d'huile moteur et changement du  filtre a gasoil
lavage et graissage generale d'engin </t>
  </si>
  <si>
    <t xml:space="preserve">vidang d'huile moteur et changement du  filtre a gasoil
filtre a huile moteur 
réparation d'eclairage 
lavage et graissage generale d'engin </t>
  </si>
  <si>
    <t>145220
145224
145223</t>
  </si>
  <si>
    <t>vidang d'huile moteur et changement du  filtre a gasoil
lavage et graissage generale d'engin 
mise  a niveau d'huile hydraulique AW68</t>
  </si>
  <si>
    <t>145226
145229
145228</t>
  </si>
  <si>
    <t xml:space="preserve">vidange d'huile moteur 15W40
lavage et graissage generale d'engin </t>
  </si>
  <si>
    <t>réparation du fuite d'huile hydraulique et soudage du tube en acier</t>
  </si>
  <si>
    <t xml:space="preserve">vidang d'huile moteur et changement du  filtre a gasoil
filtre a huile moteur 
lavage et graissage generale d'engin </t>
  </si>
  <si>
    <t xml:space="preserve">mise a niveau d'huile hydraulique </t>
  </si>
  <si>
    <t>changement du deux pneu ref 9,5R17,5</t>
  </si>
  <si>
    <t xml:space="preserve">fuite d'air </t>
  </si>
  <si>
    <t xml:space="preserve">réparation du fuite d'air 
soudage des  fissures au niveau du chassis de plateau
réparation d'eclairage </t>
  </si>
  <si>
    <t xml:space="preserve">electrique </t>
  </si>
  <si>
    <t>réparation d'eclairage et changement des lampes</t>
  </si>
  <si>
    <t xml:space="preserve">vidange d'huile moteur et changement du filtre a asoil </t>
  </si>
  <si>
    <t>vidange d'huile moteur 15W40</t>
  </si>
  <si>
    <t>vidange d'huilme moteur at changement du filtre a huile 
lavage et graissage egenrale d'engin 
reparation du prbleme d'accelerateur</t>
  </si>
  <si>
    <t xml:space="preserve">réparation d'eclairage et changement des lampes </t>
  </si>
  <si>
    <t xml:space="preserve">changement du pneu secour et reparation du crevaison pneu </t>
  </si>
  <si>
    <t xml:space="preserve">reparation d'eclairage </t>
  </si>
  <si>
    <t xml:space="preserve">accelerateur </t>
  </si>
  <si>
    <t xml:space="preserve">réparation du cable d'accemlérateur </t>
  </si>
  <si>
    <t>mise a niveau d'huile moteur15W40</t>
  </si>
  <si>
    <t>station lavage</t>
  </si>
  <si>
    <t xml:space="preserve">fuite d'eau </t>
  </si>
  <si>
    <t>réparation du fuite d''eau</t>
  </si>
  <si>
    <t>axe fusée</t>
  </si>
  <si>
    <t>réparation d'axe fusée et changement des roullement d'axe fusée</t>
  </si>
  <si>
    <t>réparation du fuite d'ehuile</t>
  </si>
  <si>
    <t xml:space="preserve">fuite du gasoil </t>
  </si>
  <si>
    <t>144508
139745
145209
145206
145537
145201
144532
144533
144526
144518
144212
144225
144214
145222
147713147714
147715</t>
  </si>
  <si>
    <t>mise a niveau d'uile hydraulique</t>
  </si>
  <si>
    <t xml:space="preserve">carosserie </t>
  </si>
  <si>
    <t>réparation du probmleme de fixation du plateau sur chassis</t>
  </si>
  <si>
    <t>réparatio d'eclairage du plateau</t>
  </si>
  <si>
    <t xml:space="preserve">réparation u fixation du jambe de grue de levage </t>
  </si>
  <si>
    <t xml:space="preserve">réparation d'eclairage et changement de lampes </t>
  </si>
  <si>
    <t>réparation du crevaison pneu</t>
  </si>
  <si>
    <t>réparation du pedale d'embrayage</t>
  </si>
  <si>
    <t>réparation du fuite d'huile hydraulique</t>
  </si>
  <si>
    <t xml:space="preserve">réparation du fuite d'air </t>
  </si>
  <si>
    <t>crevaison pneu</t>
  </si>
  <si>
    <t>réparation du fuite d"air 
réparation d'eclairage 
réparation du crevaison pneu</t>
  </si>
  <si>
    <t>entretien</t>
  </si>
  <si>
    <t>147735
147734</t>
  </si>
  <si>
    <t>réparation du fuite d'huile et changement du flexible hydraulique 
de levage du grue</t>
  </si>
  <si>
    <t xml:space="preserve">fuite dd'huile d au niveau de la grue de levage </t>
  </si>
  <si>
    <t xml:space="preserve">eclairage </t>
  </si>
  <si>
    <t>réparation du fixation du pedale d'accelerateur</t>
  </si>
  <si>
    <t>mis a niveau d'huile hydraulique</t>
  </si>
  <si>
    <t>vidange d'huile moteur et changement du filtre a huile et filtre a gasoil
lavage et graissage generale d'egin 
vidange d'huile du ppont arriere 
réparation du grue de levage
388450 km</t>
  </si>
  <si>
    <t>vidange d'huile moteur 15W40
lavage et raissage generale d'engin</t>
  </si>
  <si>
    <t>changement du jeu de plaquettes de frein avant 
et deux disque de frein avant</t>
  </si>
  <si>
    <t xml:space="preserve">changement du rétroveseur coté gauche endommagé a cause d'un accident </t>
  </si>
  <si>
    <t>changement du cope conique complet et deux demi arbre et deux pignon du demi arbre 
changement d'appareille d'air 
lavage et graissage generale d'engin 
vidange d'huile moteur 
599710 km</t>
  </si>
  <si>
    <t xml:space="preserve">145367
145376
145381
</t>
  </si>
  <si>
    <t xml:space="preserve">réparation du probleme de démarrage </t>
  </si>
  <si>
    <t xml:space="preserve">réparation du probleme d'air comprimée et changement d'appareille d'air (distributeur a quatre chambre ) 
réglage d'embrayage </t>
  </si>
  <si>
    <t>146615
146610
146616</t>
  </si>
  <si>
    <t xml:space="preserve">vidange d'huile moteur 15W40
</t>
  </si>
  <si>
    <t>changement du filtre a air a caause du  colmatage de filtre</t>
  </si>
  <si>
    <t xml:space="preserve">changement du causse battrie  et répration du probleme de démarrage </t>
  </si>
  <si>
    <t xml:space="preserve">vidange d'huile du pont arriere  </t>
  </si>
  <si>
    <t>des pneus</t>
  </si>
  <si>
    <t xml:space="preserve">vidange d'huile moteur 15W40
lavage et graissage generale d'engin 
réglage du jeu d'embrayage </t>
  </si>
  <si>
    <t>changement du deux master de frein 
coté avant gauche
reinssage du circuit d'huile de frein</t>
  </si>
  <si>
    <t xml:space="preserve">réparation du démarreur et changement d du jeu des bagues et relais dmarreur </t>
  </si>
  <si>
    <t>145393
145607</t>
  </si>
  <si>
    <t>146619
146624</t>
  </si>
  <si>
    <t>change!ment du battrie de démarrage L5 12V</t>
  </si>
  <si>
    <t xml:space="preserve">vidange d'huile moteur 15W40 filtre a huile
réparation du probleme de démarrage </t>
  </si>
  <si>
    <t xml:space="preserve">réparation du prob d'eclairage </t>
  </si>
  <si>
    <t xml:space="preserve">essieu avant </t>
  </si>
  <si>
    <t xml:space="preserve">changement d'essieu avant achat du laferaille 
changement d'alternateur de charge battrie 
vidange d'huile moteur et changement du filtre a huile </t>
  </si>
  <si>
    <t xml:space="preserve">changement du fleible hydrulique </t>
  </si>
  <si>
    <t xml:space="preserve">montage des phares secour </t>
  </si>
  <si>
    <t xml:space="preserve">vidange d'huile moteur 
realge du jeu de frein </t>
  </si>
  <si>
    <t>changement du bbattrie de démarrage L3</t>
  </si>
  <si>
    <t xml:space="preserve">changement du flexible hydraulique </t>
  </si>
  <si>
    <t xml:space="preserve">réparation du probleme d'affichage des erreures sur tableu de bord </t>
  </si>
  <si>
    <t xml:space="preserve">echappement </t>
  </si>
  <si>
    <t xml:space="preserve">réparation du bruit a normale au niveua du tube d'echappement 
vidange d'huile du pont arriere </t>
  </si>
  <si>
    <t xml:space="preserve">vidange d'huile moteur et changement u filtre a hule et filtre a gasoil et filtre a air </t>
  </si>
  <si>
    <t xml:space="preserve">changement du manette de levage de fourches </t>
  </si>
  <si>
    <t xml:space="preserve">atelier </t>
  </si>
  <si>
    <t xml:space="preserve">aménagement d'atelier mecanique auto </t>
  </si>
  <si>
    <t xml:space="preserve">réparation du probleme de démarrage et  fuite du gasoil 
vidange d'huile moteur </t>
  </si>
  <si>
    <t>kangoo</t>
  </si>
  <si>
    <t>flexible percé</t>
  </si>
  <si>
    <t xml:space="preserve">probleme elctronique </t>
  </si>
  <si>
    <t>tupe d'echappement endommagée</t>
  </si>
  <si>
    <t xml:space="preserve">des lampes </t>
  </si>
  <si>
    <t>réparation d'"eclairage et changement des lampe ref 17643</t>
  </si>
  <si>
    <t>tuyau percé</t>
  </si>
  <si>
    <t>réparation du fuite d'air et changemment du tuyau percé</t>
  </si>
  <si>
    <t>vidange</t>
  </si>
  <si>
    <t>vidange d'hule moteur 15W40
changement di filtre a huile et filtre a gasoil</t>
  </si>
  <si>
    <t xml:space="preserve">freinage </t>
  </si>
  <si>
    <t>huile de frein a basse niveau</t>
  </si>
  <si>
    <t xml:space="preserve">réparation du rpobleme d'huile de frein </t>
  </si>
  <si>
    <t>mise a niveau</t>
  </si>
  <si>
    <t xml:space="preserve">réparaton d'eclirage et changement des lampes </t>
  </si>
  <si>
    <t>carosserie</t>
  </si>
  <si>
    <t xml:space="preserve">aille du roue </t>
  </si>
  <si>
    <t>réparation dufixation d'aile de roue</t>
  </si>
  <si>
    <t xml:space="preserve">réparation du probleme de démarage et changement des fusibles </t>
  </si>
  <si>
    <t>démarrage</t>
  </si>
  <si>
    <t xml:space="preserve">peinture </t>
  </si>
  <si>
    <t>peinture des caches de roues</t>
  </si>
  <si>
    <t>eclairage</t>
  </si>
  <si>
    <t xml:space="preserve">mise  niveau d'huile hydraulique </t>
  </si>
  <si>
    <t xml:space="preserve">vidange d'huile moteur et changement des filtres </t>
  </si>
  <si>
    <t>garniture de frein</t>
  </si>
  <si>
    <t>réparation du freinageet changement de deux jeu de garniture de frein 
des roullement de moyeu de roue 
réctification des tambour 
vidange d'huile moteur et changement du filtre a huile</t>
  </si>
  <si>
    <t>vidange d'hile moteur a sté global engin</t>
  </si>
  <si>
    <t>réparation d'eclairage avant</t>
  </si>
  <si>
    <t>réparation du fuite d'huile hydraulique et ducrevaison pneu</t>
  </si>
  <si>
    <t>materielle</t>
  </si>
  <si>
    <t>plaque de signale</t>
  </si>
  <si>
    <t>bruit anormale</t>
  </si>
  <si>
    <t>mal fonction</t>
  </si>
  <si>
    <t>electrique</t>
  </si>
  <si>
    <t>fuite d'huile</t>
  </si>
  <si>
    <t xml:space="preserve">changement du manette de llevier hydraulique </t>
  </si>
  <si>
    <t>141268
141277</t>
  </si>
  <si>
    <t>1710
3jours</t>
  </si>
  <si>
    <t>142330
141294
141302
141311
141291</t>
  </si>
  <si>
    <t>2280
4 jours</t>
  </si>
  <si>
    <t>3420
6 jours</t>
  </si>
  <si>
    <t>141027
141016
141020
141019
141019
141018
141025
141029
141035
141040
141041
141043
141278
141273
141270
141269</t>
  </si>
  <si>
    <t>8550
16 jours</t>
  </si>
  <si>
    <t>14280
26 jours</t>
  </si>
  <si>
    <t>organisation</t>
  </si>
  <si>
    <t>organisation d'atelier</t>
  </si>
  <si>
    <t>Réparation du fixation du plateau sur chassis et vidange d'huile moteur 15W40</t>
  </si>
  <si>
    <t xml:space="preserve">réparation d'ecaiorage et changement des lampes </t>
  </si>
  <si>
    <t xml:space="preserve">plaquette usée </t>
  </si>
  <si>
    <t xml:space="preserve">changement du jeu de plaquette de frein
changement du courroie de distribution 
changement du support moteur inf </t>
  </si>
  <si>
    <t xml:space="preserve">refroidisement </t>
  </si>
  <si>
    <t>courroie</t>
  </si>
  <si>
    <t xml:space="preserve">changement du courroie de ventillateur </t>
  </si>
  <si>
    <t xml:space="preserve">vidange d'huile moteur 15W040
changement du battrie l5
Reparation du probleme de démarrage moteur </t>
  </si>
  <si>
    <t>14569
147741</t>
  </si>
  <si>
    <t xml:space="preserve">montage du pompe d'allimentation de gasoil electrique 12v
</t>
  </si>
  <si>
    <t>moteur endommagé</t>
  </si>
  <si>
    <t>148808
148813
148814
148818</t>
  </si>
  <si>
    <t xml:space="preserve">réparation d'eclairage et changeement des lampes </t>
  </si>
  <si>
    <t xml:space="preserve">huile hydraulique </t>
  </si>
  <si>
    <t xml:space="preserve">fuite d'huile </t>
  </si>
  <si>
    <t xml:space="preserve">réparation du fuite d'huile et mise a niveau d'huile hydraulique </t>
  </si>
  <si>
    <t>direction</t>
  </si>
  <si>
    <t xml:space="preserve">barre de direction </t>
  </si>
  <si>
    <t xml:space="preserve">changement du barre de direction </t>
  </si>
  <si>
    <t>mise a iniveau d'huile hydraulique et huile moteur</t>
  </si>
  <si>
    <t>changement du deux felxible hydraulique du grue de levage</t>
  </si>
  <si>
    <t xml:space="preserve">huile d'embrayage </t>
  </si>
  <si>
    <t xml:space="preserve">réparation du fuite au niveu du circuit d''huile d'embrayage </t>
  </si>
  <si>
    <t>vidange d'uile moteur 1540
réparation du probleme de direction 
245746 km</t>
  </si>
  <si>
    <t>vidange d'uhuile moteur et changement du filtre a huile 
et filtre du climatiseur</t>
  </si>
  <si>
    <t xml:space="preserve">battrie de démarrage </t>
  </si>
  <si>
    <t xml:space="preserve">réparation du probleme de démarrage et mise 
a  niveau d'huile hydraulique </t>
  </si>
  <si>
    <t>rétroveseur endommagé</t>
  </si>
  <si>
    <t>mise a niveau d'huie moteur 15W40</t>
  </si>
  <si>
    <t>148830
148831</t>
  </si>
  <si>
    <t>des fourches</t>
  </si>
  <si>
    <t xml:space="preserve">soudage des fourches de levage </t>
  </si>
  <si>
    <t>vidange d'huile moteur et
 réparation d'eclairage 
422798 km</t>
  </si>
  <si>
    <t>compresseur d'air</t>
  </si>
  <si>
    <t>réparation du fuite d'eau et chagement du kit réparation du compresseur d'air comprimé</t>
  </si>
  <si>
    <t>149451
149463</t>
  </si>
  <si>
    <t>galet de rampe</t>
  </si>
  <si>
    <t xml:space="preserve">changement du deux galet de monte charge </t>
  </si>
  <si>
    <t>axe pivot endommagé</t>
  </si>
  <si>
    <t xml:space="preserve">changement du kit réparation d'axe pivot  </t>
  </si>
  <si>
    <t>démarreur</t>
  </si>
  <si>
    <t xml:space="preserve">chagement du démarreur complet </t>
  </si>
  <si>
    <t>réparation du deux verin de levage des fourches 
et confection du deux tige verin par ARI 
changement du kit réparation verin de levage</t>
  </si>
  <si>
    <t>vidange d'huile moteur et changement 
du filtre a huile et filtre a gasoil
7618 h</t>
  </si>
  <si>
    <t>vidange d'huile moteur 15W40
changement du filtre a huile et filtre a gasoil
réparation d'eclairage 
534093 km</t>
  </si>
  <si>
    <t>149465
149566</t>
  </si>
  <si>
    <t xml:space="preserve">pompe d'amorssage </t>
  </si>
  <si>
    <t>changement du pompe d'amorssage endommegé</t>
  </si>
  <si>
    <t>149476
149490
140483</t>
  </si>
  <si>
    <t>vidange d'huile moteur 
et changement du filtre a huile et filtre a gaoil
lavage et graissage generale d'engin
panne du compteur h</t>
  </si>
  <si>
    <t xml:space="preserve">arrét du moteur </t>
  </si>
  <si>
    <t xml:space="preserve">solinoide d'arrét moteur </t>
  </si>
  <si>
    <t xml:space="preserve">changemlent du solinoid d'arrét moteur achat du piece adaptable 
puis endomagement du solinoide acheté 
réparation d'ancienne solinoid original pour déppanage </t>
  </si>
  <si>
    <t xml:space="preserve">roue avant </t>
  </si>
  <si>
    <t xml:space="preserve">crevaison pneu </t>
  </si>
  <si>
    <t xml:space="preserve">réparaion du crevaison pneu et changement du chambre a air </t>
  </si>
  <si>
    <t xml:space="preserve">grue de levage </t>
  </si>
  <si>
    <t xml:space="preserve">réparation du probleme de levage du grue </t>
  </si>
  <si>
    <t xml:space="preserve">des ressorts a lame </t>
  </si>
  <si>
    <t>réparation des ressorts a lame et des axedu jumelle</t>
  </si>
  <si>
    <t>pont arriere</t>
  </si>
  <si>
    <t>réparation du fuite d'huile hydraulique et changement 
du filtre a huile hydraulique</t>
  </si>
  <si>
    <t>changement du deux jeu de garnirure de frein 
des master de frein 8 master adaptable 
des arrét de graisse 
vidange d'huile moteur 
715655km</t>
  </si>
  <si>
    <t xml:space="preserve">changement du moteur thermique achat du laferaille 
changement des injecteur et des joint du plaque aavant de distriution
vidange d'huile moteur 15W40
filtre a huile </t>
  </si>
  <si>
    <t xml:space="preserve">sortie hors ste pour réparation du probleme 
changement du boite de vitesse achat occasion du laferaille( boite du camion mitsubishi 8 goujon )
réparation du fuite d'huile d'embrayage et vidange d'huile moteur et huile du pont arriere 
réparation d'eclairage </t>
  </si>
  <si>
    <t>151920
151916
151612
151905
151901
151901
151954
151598</t>
  </si>
  <si>
    <t>sortie hors ste pour réparation du probleme 
déplacement vers auto hall pour controlée la source 
avec contrôle du mr brahim 
réparation du cope conique par un sous traitant ( mr aabdou)</t>
  </si>
  <si>
    <t>150109
150104
151558
151580
151913
151914
151917
151921</t>
  </si>
  <si>
    <t xml:space="preserve">chaine de levage </t>
  </si>
  <si>
    <t xml:space="preserve">changement du chaine de levage </t>
  </si>
  <si>
    <t xml:space="preserve">réparation du prbleme de démarrage </t>
  </si>
  <si>
    <t xml:space="preserve">changement du solinoide d'arrét moteur </t>
  </si>
  <si>
    <t xml:space="preserve">réparation du freinage et changement du deux jeu de garniture de frein 
at des arrét de graisse moyeu réparation d'eclairage 
peinture generale d'engin 
changement des pieces de carosserie 
réparation d'eclairage </t>
  </si>
  <si>
    <t>149453
149458
149469
149481
149482
149486
141591
151560
151555
151148
151142
150131
150133
150126
150120</t>
  </si>
  <si>
    <t xml:space="preserve">boitier de direction </t>
  </si>
  <si>
    <t>changement d'arrét d'hyuile du boitier de direction hors sté 
changement du kit d'embrayage complet originale 
vidange d'huile moteur et changement du filtre a huile et filtre a gasoil 
711130 km</t>
  </si>
  <si>
    <t xml:space="preserve">changement du moteur thermique (achat du laferaille par mr brahim )
ancienne model )
changement du disque d'embrayage reglage du jeu de frein 
réparation d'eclairage </t>
  </si>
  <si>
    <t>150136
150132
150128
150116
150122</t>
  </si>
  <si>
    <t>linde h 45</t>
  </si>
  <si>
    <t>changement des galet de rampe 10galet 
et deux pour mat de levage 
chgangement du battrie de démarre l5
déplacement du chariot a sté sinaston</t>
  </si>
  <si>
    <t>150121
151561
150149
150147
150141
151139</t>
  </si>
  <si>
    <t>vidange d'huil moteur 15W40
24226 h</t>
  </si>
  <si>
    <t>usure des pneus</t>
  </si>
  <si>
    <t>changement des deux pneu ref 175/65R14</t>
  </si>
  <si>
    <t>fuite d'huiel</t>
  </si>
  <si>
    <t>direction assisté</t>
  </si>
  <si>
    <t xml:space="preserve">réparation du fuite d'huile de direction </t>
  </si>
  <si>
    <t>vidange d'huile moteur 15W40
11019 km</t>
  </si>
  <si>
    <t xml:space="preserve">changement du deux jeu de plaquettes de frein avant et arriere 
</t>
  </si>
  <si>
    <t>vidange d'huile moteur 15w40
réparation du fuite de gasoil</t>
  </si>
  <si>
    <t xml:space="preserve">pompe a huile </t>
  </si>
  <si>
    <t xml:space="preserve">Réparation du probleme de grue de levage </t>
  </si>
  <si>
    <t xml:space="preserve">vidange d'huile moteur et changement du filtre a air </t>
  </si>
  <si>
    <t xml:space="preserve">mise a niveau d'huile de frein 
réparation d'eclairage </t>
  </si>
  <si>
    <t>151579
151581</t>
  </si>
  <si>
    <t xml:space="preserve">changement du deux pneu ref 295/80R22,5
paralellisme d'essieu avant </t>
  </si>
  <si>
    <t xml:space="preserve">temperature </t>
  </si>
  <si>
    <t xml:space="preserve">tondeur du courroie usée </t>
  </si>
  <si>
    <t>sortie hors sté pour dépannage du tondeur 
changement du tondeur du courroie d'alternateur adaptable</t>
  </si>
  <si>
    <t>151586
151592
151588</t>
  </si>
  <si>
    <t>mise a niveau d'huile moeur et huile hydraulique</t>
  </si>
  <si>
    <t>151586
151589</t>
  </si>
  <si>
    <t xml:space="preserve">arrét d'huile </t>
  </si>
  <si>
    <t xml:space="preserve">changement d'arrét d'huile pompe hydraulique 
des roullement de pompe 
et leur joint torique 
filtre a gasoil </t>
  </si>
  <si>
    <t>151919
151119
151526</t>
  </si>
  <si>
    <t xml:space="preserve">accélérateur </t>
  </si>
  <si>
    <t xml:space="preserve">cable d'accelerateur </t>
  </si>
  <si>
    <t xml:space="preserve">changement du cable d'accélérateur </t>
  </si>
  <si>
    <t>changement du 4 pneus ref 315/80R22,5</t>
  </si>
  <si>
    <t xml:space="preserve">réparation d'clairage </t>
  </si>
  <si>
    <t>pompe a eau</t>
  </si>
  <si>
    <t xml:space="preserve">changement du pompe a eau </t>
  </si>
  <si>
    <t>vidange d'huile moteur et changement du filtre a huile et filtre a gasoilo et filtre a air    263510 km</t>
  </si>
  <si>
    <t>151923
151913</t>
  </si>
  <si>
    <t xml:space="preserve">pare choc arriere </t>
  </si>
  <si>
    <t xml:space="preserve">réparatio e peinture du face arriere </t>
  </si>
  <si>
    <t>3 j</t>
  </si>
  <si>
    <t>vidange d'huile moteur 
et changement du filtre a huile et filtre a gasoil
lavage et graissage generale d'engin
619299 km</t>
  </si>
  <si>
    <t xml:space="preserve">changement du jeu de garniture de frein 
deux tambour de frein arriere et jeu de garniture de frein avant 
des arrét de graisse de moyeu arriere 
plaquettes de frein avant 
kit souflets de frein avant venteuse de frein arriere gauche </t>
  </si>
  <si>
    <t>152181
152177
152165
152156
152930
151943</t>
  </si>
  <si>
    <t>151571
151583
151587
151593
151596
151563
151145
151924</t>
  </si>
  <si>
    <t>diagnostique d'engin</t>
  </si>
  <si>
    <t xml:space="preserve">des vitesses </t>
  </si>
  <si>
    <t xml:space="preserve">prob du boite de vitesse </t>
  </si>
  <si>
    <t xml:space="preserve">réparation du probleme de boite de vitesse 
et changement du trois jeu de sinchroniseur et disque d'embrayage et réparation des fuites d'air et du pare choc avant 
accidenté 
vidange d'huile du boite de vitesse </t>
  </si>
  <si>
    <t>152497
152490
152493
152484
152483
152478
152485
152472
152175</t>
  </si>
  <si>
    <t>mise a niveau d'huile hydraulique AW68</t>
  </si>
  <si>
    <t xml:space="preserve">charge du battrie </t>
  </si>
  <si>
    <t xml:space="preserve">courroie d'alternateur </t>
  </si>
  <si>
    <t xml:space="preserve">changement du ourroie d'alternateur ce charge battrie </t>
  </si>
  <si>
    <t>151934
151942</t>
  </si>
  <si>
    <t xml:space="preserve">affichage des lampes </t>
  </si>
  <si>
    <t xml:space="preserve">thermocontact </t>
  </si>
  <si>
    <t xml:space="preserve">C </t>
  </si>
  <si>
    <t>changement du thermocontact de temperature de liquide de refroidissement 
et claxon babouch 24 V
vidange d'huile moteur 15W40</t>
  </si>
  <si>
    <t xml:space="preserve">VIDANGE D4HUILE MOTEUR 15w40
SOUFLAGE DU FILTR A AIR 
vidange d'huile de boite de vitesse 
vidnge d'huile de pont arriere </t>
  </si>
  <si>
    <t>vidange d'huile moteur et changement du filtre a huile et filtre a air et filtre a gasoil
79 h</t>
  </si>
  <si>
    <t xml:space="preserve">vidange d'huile moteur lavage et graissage d'engin 
34548 h </t>
  </si>
  <si>
    <t xml:space="preserve">boulon d'assemblage </t>
  </si>
  <si>
    <t xml:space="preserve">réparation declairage </t>
  </si>
  <si>
    <t xml:space="preserve">vitre avant </t>
  </si>
  <si>
    <t xml:space="preserve">réparation  et changement du deux mecanisme de leve gllace du porte de cabine et changement du vitre du porte avant gauche 
 et du deux poignet de levege vitre 
réparation d'alternateur de charge battrie </t>
  </si>
  <si>
    <t>152172
152180</t>
  </si>
  <si>
    <t xml:space="preserve">cangement du solinoide d'arrét moteur et du deux cosses battrie </t>
  </si>
  <si>
    <t xml:space="preserve">des plaquettes </t>
  </si>
  <si>
    <t>changement du deux jeu de plaquette de frein avant et arriere</t>
  </si>
  <si>
    <t xml:space="preserve">mise a niveau d'huile moteur et huile hydraulique </t>
  </si>
  <si>
    <t>ai comprimée</t>
  </si>
  <si>
    <t>basse pression</t>
  </si>
  <si>
    <t xml:space="preserve">changement du compresseur d'air comprimée 
réparation d'eclairage et changement des lampes 
changement du pare choc arriere 
deux flexible spirale d'air de plateau 
deux main d'acoupplement 
flacheur 24 Vjeu du balai d'essuie glace </t>
  </si>
  <si>
    <t>152190
152192
152194
152194
152195
152453
152456
152454</t>
  </si>
  <si>
    <t xml:space="preserve">Echauffement </t>
  </si>
  <si>
    <t xml:space="preserve">joint culasse </t>
  </si>
  <si>
    <t>changement du radiateur 
cable d'embrayage courroie 
courroie d'alternateur 
moteur tharmique achat bon occasion 
fourchette d'embrayage et butée d'embrayage et arrét d'huile cardon 
vidange d'huile moteur 
            km</t>
  </si>
  <si>
    <t>vidange d'huile moteur 15w40</t>
  </si>
  <si>
    <t xml:space="preserve">distributeur hydraulique </t>
  </si>
  <si>
    <t xml:space="preserve">réparation du distributeur hydraulique et grue de levage 
vidange d'huile moteur et lavage graissage 
réparation d"eclairage </t>
  </si>
  <si>
    <t>152469
152466
152463</t>
  </si>
  <si>
    <t xml:space="preserve">renouvlement </t>
  </si>
  <si>
    <t xml:space="preserve">renouvlement det réparation du tachygraphe </t>
  </si>
  <si>
    <t xml:space="preserve">vidange et entretien systematique 
montage du pistolet d souflage et netoyage </t>
  </si>
  <si>
    <t xml:space="preserve">vidange et ventretien systematique </t>
  </si>
  <si>
    <t>plaquette de frerin</t>
  </si>
  <si>
    <t xml:space="preserve">changemùent du deux jeu de plaquette  de frein 
pour tracteur avant et arriére 
réparation d'eclairage </t>
  </si>
  <si>
    <t>152482
152485</t>
  </si>
  <si>
    <t>vidange d'huile moteur 15W40
vidange du boite de vitesse 
vidange d'huile du pont arriere 
457450 km</t>
  </si>
  <si>
    <t xml:space="preserve">godet de netoyage </t>
  </si>
  <si>
    <t xml:space="preserve">fixation </t>
  </si>
  <si>
    <t xml:space="preserve">réparation du fixtaion de godet de netoayage </t>
  </si>
  <si>
    <t>changement du deux battrie de démarrage L11 12V</t>
  </si>
  <si>
    <t>Vidange d'huile moteur 15W40
changement du filtre a huile et filtre a gasoil
lavage et netoyyage generale d'engin 
224466 km</t>
  </si>
  <si>
    <t>vidange d'huile moteur 15W40
lavaget et netoyyage d'engin 
557594 km</t>
  </si>
  <si>
    <t xml:space="preserve">réparation du b fuite d'huile hydraulique </t>
  </si>
  <si>
    <t>changement du battrie de démarrage l3
é(récupere sous garantie )</t>
  </si>
  <si>
    <t>viange d'huile moteur 15W40
 et réparation d"clairage 
722265 km</t>
  </si>
  <si>
    <t>changement du deux pneu ref 205/75R17,5</t>
  </si>
  <si>
    <t>changement du deux pneu ref 285/40R22
pour voiture du mr adil AUDI Q8</t>
  </si>
  <si>
    <t xml:space="preserve">mise a niveau d'huile hydraulique 
réparation du fuite d'huile </t>
  </si>
  <si>
    <t xml:space="preserve">changement de lampes et réparation d'eclairage </t>
  </si>
  <si>
    <t xml:space="preserve">pompe d'huile </t>
  </si>
  <si>
    <t>154180
154182
154191
154185
154183</t>
  </si>
  <si>
    <t>vidange d'huile de boite de vitesse</t>
  </si>
  <si>
    <t>changemlent u rétroveseur coté droite 
renouvlement du certificat de tachygraphe</t>
  </si>
  <si>
    <t xml:space="preserve">mise a niveau d'huile hydraulkique </t>
  </si>
  <si>
    <t xml:space="preserve">réparation d'ecairage te changement des lampes </t>
  </si>
  <si>
    <t xml:space="preserve">Sortie hors sté pour déppanage du camion et réparation du fuite d'air </t>
  </si>
  <si>
    <t>154553
154558</t>
  </si>
  <si>
    <t xml:space="preserve">cosse battrie </t>
  </si>
  <si>
    <t xml:space="preserve">réparation du problme de démarrage </t>
  </si>
  <si>
    <t>vidange d'huile moteur et changement 
du filtre a huile 2631145010
 filtre a air 281304H002
 filtre a gasoil3194541002
55769  km</t>
  </si>
  <si>
    <t>pneu percé</t>
  </si>
  <si>
    <t xml:space="preserve">changement du deux pneu ref 1106 R16 
achat bon occasion 
réparation d'eclairage </t>
  </si>
  <si>
    <t xml:space="preserve">des courroies </t>
  </si>
  <si>
    <t>changement du jeu des courroies d'accessoires ave tondeur s
changement du jeu du courroie de distribution avec tondeurs 
271548 km</t>
  </si>
  <si>
    <t xml:space="preserve">pompe d'embrayage </t>
  </si>
  <si>
    <t xml:space="preserve">chagnement du piece de rapeelle pompe d'embrayage </t>
  </si>
  <si>
    <t xml:space="preserve">essieu arriere </t>
  </si>
  <si>
    <t xml:space="preserve">des roullement </t>
  </si>
  <si>
    <t xml:space="preserve">mise a nouveau d'essieu arriere 
et changement edes rotules de biel direction des silent bloc d'essieu 
des roullement d'axe fusée 
des roullemet d'axe pivot 
</t>
  </si>
  <si>
    <t xml:space="preserve">disque d'embrayage </t>
  </si>
  <si>
    <t xml:space="preserve">changement du kit d'embrayage complet 
disque et plateau et butée 
pompe inferieur d'embrayage </t>
  </si>
  <si>
    <t xml:space="preserve">changement du solinoid d'arrét moteur 
achat du marque adaptable  et non pratique </t>
  </si>
  <si>
    <t xml:space="preserve">fuite d'ehuile </t>
  </si>
  <si>
    <t xml:space="preserve">boite vitesse </t>
  </si>
  <si>
    <t xml:space="preserve">réparation du fuite du boite de vitesse </t>
  </si>
  <si>
    <t xml:space="preserve">changement du synchroniseur du GV
récuperé du sté INTERAGREGAT 
vidange d'huile de boite de vitesse </t>
  </si>
  <si>
    <t>electrovane</t>
  </si>
  <si>
    <t>réparation du probleme de démarrage et changement des fusibles a lame</t>
  </si>
  <si>
    <t xml:space="preserve">réparation u creavaison pneu </t>
  </si>
  <si>
    <t xml:space="preserve">des filtres </t>
  </si>
  <si>
    <t>changement du dux filtre a gasoil 81125030086 / 81125030042
et filtre a air 814050021</t>
  </si>
  <si>
    <t>pipe d'eau</t>
  </si>
  <si>
    <t>changement du pipe d'eau confectioné</t>
  </si>
  <si>
    <t>vidange d'huile moteur 15W40
changement du filtre a hile 
changement du flexible hydraulique 
651261  km</t>
  </si>
  <si>
    <t xml:space="preserve">changement du deux pneu ref 10R22,5 </t>
  </si>
  <si>
    <t>réparatio  du fuite d'huile et changement du pompe d'eau +arrét d'huile moteur avant et arriere 
4 silent bloc du cabine 
3 kit de réparation verin de levage et débouchage et reinssage du radiateur 8 galet de rampe vidange d'huile moteur 
     22495    h</t>
  </si>
  <si>
    <t>vidange d'huile moteur et changement du filtre a air 
lavage et graissage generale d'engin 
7619 h</t>
  </si>
  <si>
    <t>réparatio du probleme de démarrage et changement du battrie l5</t>
  </si>
  <si>
    <t>des epi</t>
  </si>
  <si>
    <t xml:space="preserve">des chaussures neuf pour 17 personne de service maintenance </t>
  </si>
  <si>
    <t xml:space="preserve">vidange d'huile moteur 15W40
changement du filtre a huile , filtre a airet filtre a gasoil
lavage et graissage generale d'engin
1946 h </t>
  </si>
  <si>
    <t>vidange d'huile moteur 15W40
changement du filtre a hule et filtre a gasoil 
vidange d'huile du pont arriere et boite de vuitesse 
431693 km</t>
  </si>
  <si>
    <t>dépose et pose du moteur après leur réparation et changement du pochette roudage et changement des siege souppape et contrôle du culasse 
peinture generale d'engin 
    h</t>
  </si>
  <si>
    <t>155810
155815
155825
155826
155830
155829
156029
156020
156301
156302
156047
156046
156033
156041</t>
  </si>
  <si>
    <t xml:space="preserve">pot d'echappement </t>
  </si>
  <si>
    <t>155882
155832
156009
156012
156019</t>
  </si>
  <si>
    <t>vidange d'huile moteur at chanement du filtre a huile et filtre a gasoil 
lavage et graissage generale d'engin
798255</t>
  </si>
  <si>
    <t>vidange d'huile moteur et changment du filtre a huile et filtre a gasoil 
et filtre a air 
2845 h</t>
  </si>
  <si>
    <t xml:space="preserve">changement du deux pneus ref 295/80R22,5
tableaue magnetique pour atelier mecanique auto 
</t>
  </si>
  <si>
    <t>changement du quatre pneus ref 315/80R22,5
221170 km</t>
  </si>
  <si>
    <t>vidange d'huile moteur et changement 
du filtre a huile 2631145010
 filtre a air 281304H002
 filtre a gasoil3194541002
102404  km</t>
  </si>
  <si>
    <t xml:space="preserve">réparation d'essieu arrierechez ATT et changeent des chappe de direction et des rotule de direction et des bagues usée 
changement et réparation du tube d'echappement  
changement du deux  kit de reparation verin de levage </t>
  </si>
  <si>
    <t xml:space="preserve">156008
156024
156021
156015
156007
</t>
  </si>
  <si>
    <t xml:space="preserve">changemet du jeu de balai d'essuie glace </t>
  </si>
  <si>
    <t xml:space="preserve">filet on nylon </t>
  </si>
  <si>
    <t xml:space="preserve">changement du filet on nylon </t>
  </si>
  <si>
    <t>plaque signalitique</t>
  </si>
  <si>
    <t xml:space="preserve">montage du plaque de limiteation vitesse 
réparation d'eclairage </t>
  </si>
  <si>
    <t xml:space="preserve">des injecteur </t>
  </si>
  <si>
    <t>injecteur endommagé</t>
  </si>
  <si>
    <t xml:space="preserve">changement d'injecteur récupéré du laferaille interne 
avec douille 
réparation du probleme de melange du gasoil avec gas d'echappement 
netoyyag du reservoire de gasoil 
changement du filtre de chassis </t>
  </si>
  <si>
    <t>156025
156027</t>
  </si>
  <si>
    <t>vidange d'huile moteur 15W40
lavage et graissag d'engin
821701 km</t>
  </si>
  <si>
    <t xml:space="preserve">changement du démarreur complet 
marque adaptable </t>
  </si>
  <si>
    <t>pare choc avant</t>
  </si>
  <si>
    <t xml:space="preserve">réparation du pare choc avant fissurée a cause d'un accident </t>
  </si>
  <si>
    <t>156030
156303</t>
  </si>
  <si>
    <t xml:space="preserve">réparation du démarreur et changement du jeu des charbon et induit de démarreg </t>
  </si>
  <si>
    <t>changement du battrie de démarrage l5
et des fusible a lame</t>
  </si>
  <si>
    <t>filtre a air</t>
  </si>
  <si>
    <t xml:space="preserve">hangement dui filtre a air </t>
  </si>
  <si>
    <t>jeu bdes cles pipe du 6 mm 24 mm</t>
  </si>
  <si>
    <t>vidange d'huile moteur 15W40
192030 km</t>
  </si>
  <si>
    <t xml:space="preserve">fixation moteur </t>
  </si>
  <si>
    <t>vis de fixation</t>
  </si>
  <si>
    <t>152174
154732</t>
  </si>
  <si>
    <t xml:space="preserve"> </t>
  </si>
  <si>
    <t xml:space="preserve">dépose et pose duu moteur thermique pour réparation du fixation du cloche moteur </t>
  </si>
  <si>
    <t xml:space="preserve">peinture generale d'engin et répparation du carosserie 
depose et pose du moteur thermique pour réparation du fuite d'huile moteur et changement des arrét d'huile moteur avant et arriére et boitier de direction changement des flexible hydrauliques en fuite 
des silent bloc d'essieu arriere 
kit réparation d'axe fusee 
kit réparation d'axe pivot 
kit réparation verin de direction 
</t>
  </si>
  <si>
    <t>157714
157725
157730
157739
157743</t>
  </si>
  <si>
    <t>peueclaté</t>
  </si>
  <si>
    <t>changement du deux pneu avant ref 14,5R20</t>
  </si>
  <si>
    <t xml:space="preserve">mise a niveau d'huile moteur </t>
  </si>
  <si>
    <t xml:space="preserve">filtre a gasoil </t>
  </si>
  <si>
    <t xml:space="preserve">changement du filtre a gasoil et réparation du probleme de démarrage </t>
  </si>
  <si>
    <t>usure des pneu 
changement du deux pneu ref 12R22,5  xz
serie TDA05389C   /   TDA05397C</t>
  </si>
  <si>
    <t xml:space="preserve">changement du deux battrie ref  L3 12V
changement du piecesrappel pedale d'accelerateur </t>
  </si>
  <si>
    <t xml:space="preserve">appareille d'air </t>
  </si>
  <si>
    <t>changement d'appareille d'air comprimé</t>
  </si>
  <si>
    <t>changement du quatre pneu ref 315/80R22,5
vidange t entretien systematique 
215129 km</t>
  </si>
  <si>
    <t>achat</t>
  </si>
  <si>
    <t>achat du tachygraphe pour montage on cat de réparation</t>
  </si>
  <si>
    <t>vidange d'huile moteur 15W40
797485 km</t>
  </si>
  <si>
    <t>vidange d'huile moteur 15W40
466664 km</t>
  </si>
  <si>
    <t>accident</t>
  </si>
  <si>
    <t>réparation du tole et peinture du carosserie coté aaccidenté</t>
  </si>
  <si>
    <t>154743
154728
154717
154711
154703</t>
  </si>
  <si>
    <t xml:space="preserve">réparation du flexible percé </t>
  </si>
  <si>
    <t>changeme nt du quatre pneu ref 12R22,,5
serie TDA 053323 / TDA05378C  / TDA05371C  /  JZD03474C</t>
  </si>
  <si>
    <t>vidange d'huile moteur 15W40   65700 km</t>
  </si>
  <si>
    <t xml:space="preserve">charge u battrie </t>
  </si>
  <si>
    <t xml:space="preserve">alternateur de charge battrie </t>
  </si>
  <si>
    <t xml:space="preserve">répration d''alternateur de charge battrie </t>
  </si>
  <si>
    <t>injectction gsoil</t>
  </si>
  <si>
    <t>165329
165328
165340</t>
  </si>
  <si>
    <t xml:space="preserve">boite de vitesse </t>
  </si>
  <si>
    <t xml:space="preserve">des cables </t>
  </si>
  <si>
    <t xml:space="preserve">changement du deux cables de selection vitesse </t>
  </si>
  <si>
    <t xml:space="preserve">tableu de bord </t>
  </si>
  <si>
    <t>changement du tableu des fusibles et relais brulé a cause du fuite d'eau de pluie</t>
  </si>
  <si>
    <t xml:space="preserve">changement du deux pneu ref 12R22,5
</t>
  </si>
  <si>
    <t>157716
157717
157746
157761
157777
156311
156333
156319
156344
156313
157765
157764
156656
157723</t>
  </si>
  <si>
    <t xml:space="preserve">réparation du probleme de freinage et chagement du quatre jeu de garniture de frein pour tracteuur etplateau 
des arrét de graisse reducteur de tracteur 
réparatio d'eclairage et  changement des lampes 
changement du boitier de direction achat du laferaille 
changement du deux venteuse du cabine 
avant et arriere </t>
  </si>
  <si>
    <t>157735
157760
157776
157767
157780
157788
157782
157782
157785
157786
157718
157731</t>
  </si>
  <si>
    <t xml:space="preserve">vitesse </t>
  </si>
  <si>
    <t>157701
157708
157729
157737
157741
157752
157771
157755</t>
  </si>
  <si>
    <t>changement du deux pneu ref 205/75R17,5
serie EKZ33885A  /  FKZ20457A</t>
  </si>
  <si>
    <t>vidange d'huile moteur 15W040
480481 km</t>
  </si>
  <si>
    <t>changement du filtr a air ref 1444TV</t>
  </si>
  <si>
    <t xml:space="preserve">réparation du problem de démarrage  </t>
  </si>
  <si>
    <t>156315
156336</t>
  </si>
  <si>
    <t xml:space="preserve">klaxon </t>
  </si>
  <si>
    <t>klaxon ondommagée</t>
  </si>
  <si>
    <t>changement du klaxon 24 V</t>
  </si>
  <si>
    <t>vidange d'huile moteur et changment du filtre a huile et filtre a gasoil 
et filtre a air 
360h</t>
  </si>
  <si>
    <t>changment du  filtre a air  579300 km</t>
  </si>
  <si>
    <t xml:space="preserve">réparatiion d'eclairage et changemet des lampes </t>
  </si>
  <si>
    <t>vidange d'huile moteur 
et changement du filtre a huile 
731500 km</t>
  </si>
  <si>
    <t xml:space="preserve">garniture de frein </t>
  </si>
  <si>
    <t>réparation du probleme de freinage et changement du jeu de garniture de frein avant et arriere 
des arrét de graisse de moyeu avant et arriere 
quatre roullement de moyeux arriere gauche et  droit 
deux master de frein arriere complet 
deux tambour arriere et rectification du deux tambour avant 
vidange d'huile moteur et boite de vtesse et pont arriere 
803300km</t>
  </si>
  <si>
    <t xml:space="preserve">selection vitesse </t>
  </si>
  <si>
    <t>réparation du probleme de selection vitesse a sté SEFAMAR
probleme electrique c
changement des file et boitier de comande</t>
  </si>
  <si>
    <t>158213
158206</t>
  </si>
  <si>
    <t>mise a niveau d'hule hydraulique</t>
  </si>
  <si>
    <t>158214
158221</t>
  </si>
  <si>
    <t>vidange d'huile moyeur et changement des filtre a huile</t>
  </si>
  <si>
    <t xml:space="preserve">peinture du face avant apres un accident avec camion du ste KARKACHI </t>
  </si>
  <si>
    <t>158230
158234
158222
158227
158246
158245</t>
  </si>
  <si>
    <t>vidange d'huile moteur 15W40
417469 km</t>
  </si>
  <si>
    <t xml:space="preserve">afficheur de compteur </t>
  </si>
  <si>
    <t xml:space="preserve">changement d'afficheur </t>
  </si>
  <si>
    <t>réparation du probleme d'embrayage et changement changement du pompe d'embrayage inferieur et  sup 
changement du mecanisme de levier de vitesse complet
vidange d'huile moteur 15W40</t>
  </si>
  <si>
    <t>vidange d'huile moteur 15W40
10943 h</t>
  </si>
  <si>
    <t>vidange d'huile moteur 
mise a niveau d'huile hydraulique 
24737 h</t>
  </si>
  <si>
    <t>changement du kit réparation d'axe fuséé et kit réparaton d'axe piivot 
changement du deux jante achat du laferaille et deux pneus neuf ref 23*9*10 pour les roue arrieres 
réparation du levier de distributeur hydraulique 
vidange d'huile moteur 15W40
changement du filtre a huile
7619 h</t>
  </si>
  <si>
    <t>changement du filtre a air a cause du  colmatage de filtre</t>
  </si>
  <si>
    <t>netoyyage du circuit de gas d'echappement et du pot catalytique 
par produit WD40
changement du triangle de suspontionet du bielette de suspontion 
et deux rotule de suspontion avant
vidange d'huile moteur et changement des filtre  
275100 km</t>
  </si>
  <si>
    <t>vidange d'huile moteur 15W40
changement du filtre a huile et filtre a gasoil
lavage et graissage generale d'engin
571223 km</t>
  </si>
  <si>
    <t>changement du rétroveseur coté gauche endommagé a cause d'un accident 
entretien systematique
35700</t>
  </si>
  <si>
    <t>réparation du probleme d'injection du gasoil 
changement du filtre a gasoil 
changement du prefiltre a gasoil</t>
  </si>
  <si>
    <t>MTBF</t>
  </si>
  <si>
    <t>MTTR</t>
  </si>
  <si>
    <t>Disponibilité</t>
  </si>
  <si>
    <t>Objectif</t>
  </si>
  <si>
    <t>158235
158229
159225
158210
158236
158236
158243</t>
  </si>
  <si>
    <t xml:space="preserve">réparation du probleme de fuite d'huile et changement des acces pivot et kit réparation axes fusee 
changement du verin de direction 
changement du pochette de joint a cause du fuite  au niveau des arrét d'huile moteur thermique 
tarage du pompe d'injection et des injecteurs 
réparation d'eclairage 
peinture generale d'engin 
vidange d'huile moteur et changement du filtre a huile 
34909 h
</t>
  </si>
  <si>
    <t>159610
160479
160476
160621
159608
159606
159601
158494
158438
158490
158208
158203</t>
  </si>
  <si>
    <t>injection du gazoil</t>
  </si>
  <si>
    <t>des injecteurs</t>
  </si>
  <si>
    <t>réparation du probleme d'injection gazoil et tarage des injecteurs 
et chhangement du pieces d'accelerateur 
débouchage du radiateur 
réparation des element de suspontion 
(tous ces intervention et réaliser a sté  RENAULT TRUCK + CAHLAOUI RADIATEUR ET TRANS RAJBOUN °</t>
  </si>
  <si>
    <t xml:space="preserve">bruit anormale au niveau du moteur thermique </t>
  </si>
  <si>
    <t xml:space="preserve">des siege souppape </t>
  </si>
  <si>
    <t xml:space="preserve">réparation des trois culasse et changement des sieges souppape et guides souppape 
rectification des culmasse 
changement du pochette joinnt et des souppape d'admission et d'echappement </t>
  </si>
  <si>
    <t>159644
159635
159615
159609
159493
159457</t>
  </si>
  <si>
    <t>culasse moteur</t>
  </si>
  <si>
    <t>culasse endommagée</t>
  </si>
  <si>
    <t>159639
159630
159618
159479
158480</t>
  </si>
  <si>
    <t>vidange d'huile moteur changement des filtres
250178 km</t>
  </si>
  <si>
    <t xml:space="preserve">accident </t>
  </si>
  <si>
    <t xml:space="preserve">changement du retroveseur cote gauche endommage a cause d'un accident </t>
  </si>
  <si>
    <t xml:space="preserve">réparation d'eclairege </t>
  </si>
  <si>
    <t>vidange d'huile moteur et lavage graissage genarale d'engin
117468 km</t>
  </si>
  <si>
    <t>vidange d'huile moteur et lavage graissage genarale d'engin
70455 km</t>
  </si>
  <si>
    <t>158462
158470</t>
  </si>
  <si>
    <t xml:space="preserve">changement du deux battrie d démarrage M15
réparaton du crevaison pneu par meche de raparation crevaison </t>
  </si>
  <si>
    <t>vidange d'hile moteur 15W40</t>
  </si>
  <si>
    <t xml:space="preserve">venteuse d'air de la cabine </t>
  </si>
  <si>
    <t>changement du trois venteuse de suspention  cabine 
sauf arriere gauche
réparation du fixation pare choc avant 
réparation des element de suspention 
changement du quatre pneu ref 315/80R22,5</t>
  </si>
  <si>
    <t xml:space="preserve">changement du plaque de limitatio vitesse </t>
  </si>
  <si>
    <t>des vis de fixation</t>
  </si>
  <si>
    <t xml:space="preserve">réparation du probleme de fixation du plateau sur chassis 
changement des vis de fixation par des brides des serrage </t>
  </si>
  <si>
    <t xml:space="preserve">demarrage </t>
  </si>
  <si>
    <t xml:space="preserve">démarreur </t>
  </si>
  <si>
    <t>changement du démarreur complet 
achat du laferaille 
réparation du fuite d'huile changement du deux flexible d'huile d'huile hydraulique</t>
  </si>
  <si>
    <t>158490
158484</t>
  </si>
  <si>
    <t>vidange d'hile moteur et lavage graissage generale d'engin 
réparation du fuite d'eau
22988 h</t>
  </si>
  <si>
    <t>freinage</t>
  </si>
  <si>
    <t xml:space="preserve">réparation du fuite d'huile et reglage de jeu de freinage </t>
  </si>
  <si>
    <t xml:space="preserve">réparation d'eclairae </t>
  </si>
  <si>
    <t>refroidissement</t>
  </si>
  <si>
    <t xml:space="preserve">radiateur </t>
  </si>
  <si>
    <t>réparation du fuite d'eau et debouchage du circuit de refroidissement</t>
  </si>
  <si>
    <t>vidange d'huile moteur et lavage graissage generale d'engin 
réparation du probleme de freinage 
réparation du probleme  de charge battrie   1
11341 h</t>
  </si>
  <si>
    <t xml:space="preserve">réparation du crevaison pneu 
reparation d'eclairage </t>
  </si>
  <si>
    <t>vidange d'huile moteur 15W40
changement des filtres a huiles et filtres a gazoil 
497268 km</t>
  </si>
  <si>
    <t xml:space="preserve">changement du thermostat de refroidissement 
déplacement a sté RENAULT TRUCK POUR la réparation du probleme d'injection de gazoil et probleme d'ccelerateur affiché sur tableau de bord  
changement du deux filtre a gazzoil </t>
  </si>
  <si>
    <t>159631
159636
159632</t>
  </si>
  <si>
    <t xml:space="preserve">usure des pieces </t>
  </si>
  <si>
    <t>changement du deux kit de réparation axes pivot endommage 
et déplace l'essieu a ste itri tournage  pour dmonté sous presse 
vidange d'huile moteur 15W40
changement du filtre a ahuiile 
830900km</t>
  </si>
  <si>
    <t xml:space="preserve">femeture des portes </t>
  </si>
  <si>
    <t xml:space="preserve">probleme electrique </t>
  </si>
  <si>
    <t>réparation du probleme electrique de fermeture et ouverture du portes d'engin</t>
  </si>
  <si>
    <t>mauvaise injection gazoil</t>
  </si>
  <si>
    <t xml:space="preserve">réparation du probleme d'injection gazoil  </t>
  </si>
  <si>
    <t xml:space="preserve">durite d'eau </t>
  </si>
  <si>
    <t>réparation du fuite de liquide de refroidissement 
et vidange d'huile moteur et changement des filtres a huile et filtres gazoil 
reparation du fuites d'air 
596300 km</t>
  </si>
  <si>
    <t xml:space="preserve">entretien systematique a ste glabal engin 
changement du deux jau de balai d'essuie glace </t>
  </si>
  <si>
    <t xml:space="preserve">usure </t>
  </si>
  <si>
    <t xml:space="preserve">changement du quatre pneu ref 315/80R22,5  </t>
  </si>
  <si>
    <t xml:space="preserve">changement du pompe d'embrayage superieur et purge du circuit d'huile 
changement du filtre a air </t>
  </si>
  <si>
    <t>feu du stop</t>
  </si>
  <si>
    <t xml:space="preserve">mano contact </t>
  </si>
  <si>
    <t xml:space="preserve">répartion du probleme de feu de stop </t>
  </si>
  <si>
    <t xml:space="preserve">reparation du crevaison pneu </t>
  </si>
  <si>
    <t xml:space="preserve">réparationdu probleme d'alternateur de charge battrie </t>
  </si>
  <si>
    <t xml:space="preserve">réparation du probleme de tableau de bord </t>
  </si>
  <si>
    <t>réparation du fite d'air comprime</t>
  </si>
  <si>
    <t>réparation d'eclairage 
réparation du tachygraphe</t>
  </si>
  <si>
    <t xml:space="preserve">répataion d'embrayage et changement du disque d'embrayage et plateau de serrage  et butée
réparation du problememe de charge battrie et changement d'alternateur de charge battrie 
changement du mecanisme de frein de stationnement </t>
  </si>
  <si>
    <t xml:space="preserve">fuiute d'huile </t>
  </si>
  <si>
    <t xml:space="preserve">verin de levage </t>
  </si>
  <si>
    <t xml:space="preserve">réparation du trois verin de levage </t>
  </si>
  <si>
    <t>160495
160494</t>
  </si>
  <si>
    <t>distributeur hydraulkique</t>
  </si>
  <si>
    <t xml:space="preserve">réparation du distributeur hydraulique de levage des verin 
</t>
  </si>
  <si>
    <t>160490
160051</t>
  </si>
  <si>
    <t>des galet de rampe</t>
  </si>
  <si>
    <t>changement des galet de rampe et réparation du fixation chaine</t>
  </si>
  <si>
    <t>∑ temps d'arrêts</t>
  </si>
  <si>
    <t>Nb d'arrêt</t>
  </si>
  <si>
    <t>Camions</t>
  </si>
  <si>
    <t>Semi Remorque</t>
  </si>
  <si>
    <t>Engins roulants</t>
  </si>
  <si>
    <t xml:space="preserve">balayeuse </t>
  </si>
  <si>
    <t xml:space="preserve">usure du brosse </t>
  </si>
  <si>
    <t xml:space="preserve">changement du pack du brosse complet </t>
  </si>
  <si>
    <t>161094
161092</t>
  </si>
  <si>
    <t xml:space="preserve">gaz d'echappement </t>
  </si>
  <si>
    <t xml:space="preserve">réparation du probleme du gaz d'echappement </t>
  </si>
  <si>
    <t>161078
161088</t>
  </si>
  <si>
    <t>reservoire gazoil</t>
  </si>
  <si>
    <t>chaine de fixation</t>
  </si>
  <si>
    <t>réparation du fixation du reservoire de gazoil</t>
  </si>
  <si>
    <t>vidange d'huile moteur et lavage graissage generarale d'e,gin</t>
  </si>
  <si>
    <t xml:space="preserve">des cosses battrie </t>
  </si>
  <si>
    <t>plaqette de frein</t>
  </si>
  <si>
    <t>réparation du probleme de frein et changement des plaquette de frein avant et des chappe de direction (chappe et plaquette usee récupere d'atelier )</t>
  </si>
  <si>
    <t>huile de frein</t>
  </si>
  <si>
    <t xml:space="preserve">fuite du gazoil </t>
  </si>
  <si>
    <t>pompe d'alimentation</t>
  </si>
  <si>
    <t xml:space="preserve">réparation du fuite de gazoil et changement du pompe d'alimentation gazoil et des galet de rampe 8 galet </t>
  </si>
  <si>
    <t>Changement du deux battrie de demarrage L5</t>
  </si>
  <si>
    <t>161066
161069</t>
  </si>
  <si>
    <t xml:space="preserve">réparatiopn declairage et changement des lampes </t>
  </si>
  <si>
    <t>changement du quatre pneu ref 205/65r15
199300 km</t>
  </si>
  <si>
    <t>essuie glace</t>
  </si>
  <si>
    <t>changement du jeu du balai d'essuie glace  650mm</t>
  </si>
  <si>
    <t>usure</t>
  </si>
  <si>
    <t>changement du quatre pneu ref 27*10-12
23/9-10</t>
  </si>
  <si>
    <t>panne</t>
  </si>
  <si>
    <t>fuite d'air comprimé</t>
  </si>
  <si>
    <t xml:space="preserve">sortie pour déppanage du camion et réparation du fuite d'air comprimeee au niveau du circuit d'embrayage </t>
  </si>
  <si>
    <t xml:space="preserve">réparation du probleme de démarrage et changeent des cosses battrie </t>
  </si>
  <si>
    <t xml:space="preserve">réprationd d'eclairage </t>
  </si>
  <si>
    <t xml:space="preserve">chassis </t>
  </si>
  <si>
    <t xml:space="preserve">soudure </t>
  </si>
  <si>
    <t xml:space="preserve">soudure du piece de fixation pneu secour </t>
  </si>
  <si>
    <t>vidange d'huile moteur et changement du
 filtre a huile 8200768927
 filtre  a gazoil 7701043620
163613 km</t>
  </si>
  <si>
    <t xml:space="preserve">réparation du fixation du klaxon </t>
  </si>
  <si>
    <t>réparation du felxible hydraulique et changement du kit réparation verin de levage ( changement du couppelle principale  adaptable )</t>
  </si>
  <si>
    <t>pompe damorssage</t>
  </si>
  <si>
    <t>réparation du fuite du gazoil et changement du pompe du gazooil et tuyau deg gazoil changement des galets de rampe</t>
  </si>
  <si>
    <t xml:space="preserve">probleme electronique </t>
  </si>
  <si>
    <t xml:space="preserve">commande frein moteur </t>
  </si>
  <si>
    <t xml:space="preserve">réparation du probleme de frein moteur </t>
  </si>
  <si>
    <t xml:space="preserve">                                                                                                                                                                                                                                                                                                                                                                                                                                                                                                                                                                                                                                                                                                                                                                                                 </t>
  </si>
  <si>
    <t>160473
161372</t>
  </si>
  <si>
    <t>158475
158469
158473
161374</t>
  </si>
  <si>
    <t xml:space="preserve">réparationb et débouchage du rasdiatreur 
peinture generale d'engin </t>
  </si>
  <si>
    <t>161384
161379
161380</t>
  </si>
  <si>
    <t>réparation du fuite d'eau et changement du durte de liquide de refroidissement et changement du pip d'eau 
réparation du fuite d'air comprimee 
vidange d'huile moteur et changement des iltre a huile moteur 
781300 km</t>
  </si>
  <si>
    <t>161381
161383</t>
  </si>
  <si>
    <t>réparation</t>
  </si>
  <si>
    <t>réparation du tachygraphe</t>
  </si>
  <si>
    <t>mise a niveau d'huile hydraulique du grue et boite de vtesse</t>
  </si>
  <si>
    <t>161377
161382</t>
  </si>
  <si>
    <t>vidange d'huile moteur et changement du filtre a huile et filtre a gasoil
201250 km</t>
  </si>
  <si>
    <t>réparation du fuite d'eau et débouchage du radiateur et reinssage du circuit de refroidissement 
réparation du pompe de gazoil 
changemnt du pompe d'amorssage gazoil 
changement des durite d'eau et d'huile moteur 
vidange d'huuiile moteur 
600764 km</t>
  </si>
  <si>
    <t>réparation du fuite d'eau et changement du tube d'echappement complet avec pot d'echappement 
vidange d'huile moteur 
  440928 km</t>
  </si>
  <si>
    <t>vidange d'huile moteur 
lavage et graissaged'engin 
   641km</t>
  </si>
  <si>
    <t>vidange d'huile du boite de vitesse  et pont arriere 
         500245      km</t>
  </si>
  <si>
    <t xml:space="preserve">fixation du vitre  de porte </t>
  </si>
  <si>
    <t>réparation du fixation du vitre de porte  cabinne</t>
  </si>
  <si>
    <t xml:space="preserve">plateau de serrage </t>
  </si>
  <si>
    <t>réparation du probleme d'embrayage et changement du kit d'embrayage complet disque et plateau ey butee 
réparation du fixation du tole inferiieur du moteur 
vidange d'huile du boite de vitesse</t>
  </si>
  <si>
    <t>162203
161055</t>
  </si>
  <si>
    <t>réparation du fuite d'huile et vidange d'huile moteur
netoyage souflage du filtre a air 
64 h</t>
  </si>
  <si>
    <t xml:space="preserve">peinture generale d'engin et changement du joint du pompe d'eau et réparation 
du rediateur et débouchage 
changement du durite d'eau 
réparation d'eclairage </t>
  </si>
  <si>
    <t>162204
162212
162226
162217
162225
162220
162221</t>
  </si>
  <si>
    <t>vidange d'huile moteur 15W40
lavage et netoyage d'engin 
souflage d filtre a air 
2858 h</t>
  </si>
  <si>
    <t xml:space="preserve">changement du tuyau d'air </t>
  </si>
  <si>
    <t>garniyure de frein</t>
  </si>
  <si>
    <t xml:space="preserve">changement du jeu de garniture de frein 
arrier et jeu de plaquette aavant marque adaptable 
alesage des disque de frein avant 
</t>
  </si>
  <si>
    <t>162234
162216</t>
  </si>
  <si>
    <t xml:space="preserve">sortie hors sté pour dépannage du camion et changeent d flexible hydraulique percé </t>
  </si>
  <si>
    <t>162201
162233
162231</t>
  </si>
  <si>
    <t xml:space="preserve">Peinture generale du carosserie et réparation d'eclairage 
changemment des lampes et des feu laterale 
changement du support moteur inferieuure 
kit d'embrayage complet 
changement du courroie de distribution moteur avec tondeur et 
jeu de courroie d'accessoires avec tondeur 
changement du kit d'embrayag complet   
des plaquettes de frein avant avece disque de frein avant    pipe d'eau 
crimaillaiare de direction avec souflet  achat du laferaille 
cardon coté droit 
vidange d'huile moteur et changement des filtres 
</t>
  </si>
  <si>
    <t>mise a niveau d'huil hydraulique AW68</t>
  </si>
  <si>
    <t xml:space="preserve">changement du filtre a air collmaté </t>
  </si>
  <si>
    <t xml:space="preserve">caise d'outillage </t>
  </si>
  <si>
    <t xml:space="preserve">réparation et soudage et peinture du caissse d'outillage </t>
  </si>
  <si>
    <t xml:space="preserve">réparation du fuite d'huiile 
lavage et graissage genarale d'engin 
</t>
  </si>
  <si>
    <t xml:space="preserve">changeent dui jeu des bagues et charbon pour démarreur 
changement de deux reais démarrauer adaptable 
réparation d'eclairage </t>
  </si>
  <si>
    <t>162606
162629</t>
  </si>
  <si>
    <t>réparation du fuite d'huile et vidange d'huile moteur
netoyage souflage du filtre a air 
688900 km</t>
  </si>
  <si>
    <t>réparation d'eclaierage</t>
  </si>
  <si>
    <t xml:space="preserve">changement d'essieu avant achat du l'aferaille </t>
  </si>
  <si>
    <t>162625
162630</t>
  </si>
  <si>
    <t xml:space="preserve">tuyau du gasoil </t>
  </si>
  <si>
    <t>moteur thermique</t>
  </si>
  <si>
    <t xml:space="preserve">mise a point du moteur thermique et changement du groupe moteur et vilebrequine réquperé du moteur laferaille du sté KARKACHI  et réparration des culasse </t>
  </si>
  <si>
    <t>161074
162232
162237
162604
162612
162614
162622
162634
162632</t>
  </si>
  <si>
    <t xml:space="preserve">couple conique </t>
  </si>
  <si>
    <t xml:space="preserve">gaz dechappement </t>
  </si>
  <si>
    <t xml:space="preserve">injection gasoil </t>
  </si>
  <si>
    <t>vidange d'huile moteur 15W40 
25572 h</t>
  </si>
  <si>
    <t xml:space="preserve">changemlent d'arréét d'huile moteur theramique et deux pneu avant et flectore +kit réparation du distributeur d'acceleration </t>
  </si>
  <si>
    <t xml:space="preserve">frinage </t>
  </si>
  <si>
    <t xml:space="preserve">mise a niveau d'huile de frein a cause du fuite au niveau des master de frein </t>
  </si>
  <si>
    <t>162626
161394</t>
  </si>
  <si>
    <t xml:space="preserve">changement du tuyau du gasoil et des joint des injecteurs 
changement du deux tuyau spirale pour remorquage 
et cable de remorquage et ceinture du reservoire gazoil 
changement du pompe d'eau originale </t>
  </si>
  <si>
    <t>163648
163647
163616
163611
163605
163601</t>
  </si>
  <si>
    <t>162631
162633
162624
162624
163604
163633
163604
163612
163634
163626
163637
163629
163641
163640
163606</t>
  </si>
  <si>
    <t xml:space="preserve">changement du deux jeu de garnirure de frein 
des master de frein avant 
des arrét de graisse moyeu de roue  
deux jeu des roullement du mmoyeu de roue coté gauche 
</t>
  </si>
  <si>
    <t>163630
163638</t>
  </si>
  <si>
    <t>sortie avec camion pour répare et change leur flexible percé</t>
  </si>
  <si>
    <t>changement du deux battrie de démarrage H3  12V</t>
  </si>
  <si>
    <t>réparation et changement du flexible percé</t>
  </si>
  <si>
    <t>réparation d'eclairage et changement des lampes défectueuse</t>
  </si>
  <si>
    <t xml:space="preserve">bruit au niveau du boite vitesse </t>
  </si>
  <si>
    <t>des roulllement usee</t>
  </si>
  <si>
    <t>vidange d'huile moteur 15W40
souflage du filtre a air 
graissage generale d'engin 
84700 km</t>
  </si>
  <si>
    <t>vidange d'huile moteur 15W40
souflage du filtre a air 
graissage generale d'engin 
610300 km</t>
  </si>
  <si>
    <t>vidange d'huile moteur 15W40
souflage du filtre a air 
graissage generale d'engin 
35039 h</t>
  </si>
  <si>
    <t xml:space="preserve">bruit au niveu du moteur thermique </t>
  </si>
  <si>
    <t xml:space="preserve">des injecteurs </t>
  </si>
  <si>
    <t/>
  </si>
  <si>
    <t>#REF!</t>
  </si>
  <si>
    <t>changement du kit d'embrayage complet 
changment des pieces du carosserie des feu laterale 
et des feu rouge arriere 
deux retroveseur +arréet de'huile moteur coté arriere 
butée d'embrayage 
réparation du coouple conique (récuperation des pieces du laferaile d'atelier ) 
changement des optiques avant 
deux feu rouge arriere 
vidange d'huile du pont arriere +boite de vitesse +et huile moteur 
changement du deux retroveseur 
peinture genarale d'engin 
509937 km</t>
  </si>
  <si>
    <t>démontage du boite de vbitesse pour réparation du bruit anormale 
et changement du deux arrét dd'huile du boite de vitesse et roullement endommage achat des pieces adaptable changement du deux jeu de plaquette de frein kit fourchette d'embrayage et selecteur de vitesse achat du laferaille 
vidange d'huile de boite de vitesse</t>
  </si>
  <si>
    <t>163621
163619
164903
164625
164589
164582
164637
16457
164637
164570
164557</t>
  </si>
  <si>
    <t>réparation du problem d'injection gasoil et tarage des injecteurs et regulateur d'injection gasoil changement des joint d'injecteur 
changement des filtre a gasoil et filtre a huile et vidange d'huiile moteur 
       h</t>
  </si>
  <si>
    <t>164553
164559
164568
164568
164571
164574</t>
  </si>
  <si>
    <t xml:space="preserve">réparation du probleme de feu de stop </t>
  </si>
  <si>
    <t xml:space="preserve">changement du jeu du balai d'essuie glace 
changement du deux bras de baai d'essuie glace </t>
  </si>
  <si>
    <t xml:space="preserve">réparation du crevaison pneu et changement du chambre  a air </t>
  </si>
  <si>
    <t>vidange d'huile moteur 15W40
lavage et graissage generale d'engin 
809207 km</t>
  </si>
  <si>
    <t xml:space="preserve">fixation d'axe du godet </t>
  </si>
  <si>
    <t xml:space="preserve">des vis de fixation </t>
  </si>
  <si>
    <t xml:space="preserve">réparation du probleme de fixation d'axe de ggodet de charge </t>
  </si>
  <si>
    <t>vidanghe d'huile moteur 15W40
lavage et graisage genarale d'engin 
748600 km</t>
  </si>
  <si>
    <t xml:space="preserve">changement d'alternateur de charge battriie achat neuf </t>
  </si>
  <si>
    <t>changement du battrie de démarrage l3 12v</t>
  </si>
  <si>
    <t>changement du deux battrie de démarrage 15V L5</t>
  </si>
  <si>
    <t>413B</t>
  </si>
  <si>
    <t>changement du deux battrie de démarrage 12V L5</t>
  </si>
  <si>
    <t>marche avant arriere</t>
  </si>
  <si>
    <t xml:space="preserve">varieteur de commande </t>
  </si>
  <si>
    <t xml:space="preserve">changement du variateur de comande marche avant arriere </t>
  </si>
  <si>
    <t xml:space="preserve">réparation du probleme d'injection gasoil et changement du pré filtre a gasoil a cause du melange d'eau avec gazoil </t>
  </si>
  <si>
    <t xml:space="preserve">peinture du coté arriere pare choc et capot arriere a cause d'un accident </t>
  </si>
  <si>
    <t xml:space="preserve"> vidanghe d'huile moteur 15W40
lavage et graisage genarale d'engin
réparation du probleme d'inection gasoil  au niveau du filtre a gasoil (separateur d'eau )
279800 km</t>
  </si>
  <si>
    <t>413b</t>
  </si>
  <si>
    <t>réparation crevaison</t>
  </si>
  <si>
    <t xml:space="preserve">réparation crevaison pneu </t>
  </si>
  <si>
    <t xml:space="preserve">changemnt du deux pneus ref 11R22,5 R187
( changemnt du references </t>
  </si>
  <si>
    <t xml:space="preserve">prise rapide </t>
  </si>
  <si>
    <t xml:space="preserve">réparation du fuite d'air et changement du prise rapide </t>
  </si>
  <si>
    <t xml:space="preserve">répparation d'eclairage et changement des lampes </t>
  </si>
  <si>
    <t xml:space="preserve">jeu des balai </t>
  </si>
  <si>
    <t xml:space="preserve">changement du jeu du balai d'essuie glace </t>
  </si>
  <si>
    <t>vidange d'huile moteur et graissage generale d'engin 
changement du filtre a huile ref 343801
3923 h</t>
  </si>
  <si>
    <t xml:space="preserve">réparation du fute d'eau </t>
  </si>
  <si>
    <t xml:space="preserve">vidange d'huuile moteur 15W40
réparation d'eclairage </t>
  </si>
  <si>
    <t>Vidange d'huile moteur 15W40 ola huile 
lavage et graissag d'ngin 
284120 km</t>
  </si>
  <si>
    <t xml:space="preserve">temperature moteur </t>
  </si>
  <si>
    <t xml:space="preserve">sortie avec camion pour résourdre du probleme d'echauffement anormale moteur thermique et changement du durite d'eau 
réparation et débouchage du radiateur 
reinssage du circuit de refroidissement </t>
  </si>
  <si>
    <t xml:space="preserve">sortie pour réparation du probleme d'echauffement dhuile moteur 
anormale temperature d'huile moteur 
elimination du thermostat de refroidissement 
,,,,,
vidange d'huile moteur afriquia huile 
changement du filtre a huie et filtre a gasoil </t>
  </si>
  <si>
    <t xml:space="preserve">temperature d'huile moteur </t>
  </si>
  <si>
    <t>dépose et pose du moteur thermique pour la deusieme fois pour change leur group moteur avec des pistons chemises (achat du laferaille par mr brahim ) réparation du reulaateur d'injection gaoil 
pochette joint coimplet 
vidange d'huile moteur 15W40
1915 h</t>
  </si>
  <si>
    <t xml:space="preserve">changement du culasse et du pochette roudaage avec des joint des injecteur 
et joint culasse marque catrepillar 
vidange d'huile moteur 15W40 2145 h
changement des filtre de gasoile et filtre a huile moteur 
tarage des injecteur </t>
  </si>
  <si>
    <t>réparation du probleme d'ijection gasoil 
reglage du jeu de souppape changement du filtre a gasoil 
changement du joint collecteur d'echappement 
vidange d'huile moteur 15W40
2329h</t>
  </si>
  <si>
    <t>pompe de frein</t>
  </si>
  <si>
    <t xml:space="preserve">réparation du freinage et changement 
du pompe de frein avant </t>
  </si>
  <si>
    <t>166213
166220</t>
  </si>
  <si>
    <t xml:space="preserve">changement du kit réparation axe pivot d'essieu erriare 
604 h </t>
  </si>
  <si>
    <t xml:space="preserve">vidange d'huile moteur15w40
lavage et graissage génrale d'engin </t>
  </si>
  <si>
    <t xml:space="preserve">levage des fourches </t>
  </si>
  <si>
    <t xml:space="preserve">des galets </t>
  </si>
  <si>
    <t xml:space="preserve">changeent des galets de monte charge </t>
  </si>
  <si>
    <t>vidage</t>
  </si>
  <si>
    <t>vidange d'huile moteur et changement du filtre a huile et filtre a gasoil 
et filtre a air 
205577 km</t>
  </si>
  <si>
    <t>vidange d'huile ùmoteur 15w40
changement du filtre a huille et filtre a gasoil 
et preiltre a gasoil 
changement du jeu de courroie d'accessoires 
déplacement a agadir pour déppanage du situation 
289628km</t>
  </si>
  <si>
    <t xml:space="preserve">réparation d'alternateur de charge battrie et changement des cosse battrie </t>
  </si>
  <si>
    <t>vidange d'huile moteur 15W40 et changement filtre et filtre a huile a gasoil et filtre a air
255314 km</t>
  </si>
  <si>
    <t xml:space="preserve">mise a niveau d'huile de boite vitesse </t>
  </si>
  <si>
    <t>contact</t>
  </si>
  <si>
    <t xml:space="preserve">changement du contact de démarrage </t>
  </si>
  <si>
    <t xml:space="preserve">des pneus </t>
  </si>
  <si>
    <t>changement du deux pneu avant ref 28-12,5/15</t>
  </si>
  <si>
    <t xml:space="preserve">reftroidissement du moteur </t>
  </si>
  <si>
    <t xml:space="preserve">réparation et débouchage du radiateur de refroidisement 
déboouchage du cirucit de refroidissement </t>
  </si>
  <si>
    <t xml:space="preserve">pompe du grue </t>
  </si>
  <si>
    <t xml:space="preserve">changement du pompe du grue de levage et desd raccord de fixation et manchon  
changement du prise de pompe de grue a comande pneumatique </t>
  </si>
  <si>
    <t xml:space="preserve">sortie hors ste pour resoudre  du probleme electrique </t>
  </si>
  <si>
    <t xml:space="preserve">changement du battrie de démarrage 12 v c14
changement des cosse battrie </t>
  </si>
  <si>
    <t>vidange d'huile moteur et changement du filtre a huile et filtre a gasoil et filtre a air 
lavage et graissage generale d'eengin 
233143 km</t>
  </si>
  <si>
    <t>dacia</t>
  </si>
  <si>
    <t>des amortisseurs</t>
  </si>
  <si>
    <t xml:space="preserve">changement des chappe de direction et deux amortisseurs 
des plaquettes de frein avant 
deus amortisseurs arriere </t>
  </si>
  <si>
    <t>166246
166855</t>
  </si>
  <si>
    <t>vidange d'huile moteur 15W40
lavage et graissage generale dengiin 
changement du filtre a huilez et gasoil 
523300 km</t>
  </si>
  <si>
    <t xml:space="preserve">circuit de gasoil  </t>
  </si>
  <si>
    <t>réparation du probleme au niveau du circuit de gasoil et changement du pré filtre a gasoil</t>
  </si>
  <si>
    <t>réparation du fuite d'huile</t>
  </si>
  <si>
    <t>changement du deux battrie de démarrage m15 a9</t>
  </si>
  <si>
    <t xml:space="preserve">couple conique endommage </t>
  </si>
  <si>
    <t xml:space="preserve">changemenet du couple conique endommage (achat du laferaile  ) ( abdou)
réparation du fuite d'huile </t>
  </si>
  <si>
    <t>167824
167820
167830
167841</t>
  </si>
  <si>
    <t>167846
167840
167828
167816
167811
167896
168884</t>
  </si>
  <si>
    <t>167819
167817
168807
169824</t>
  </si>
  <si>
    <t>répatration d'eclairage et changemnet des lampes</t>
  </si>
  <si>
    <t>changement du durite de liquide de refroidissement</t>
  </si>
  <si>
    <t>arm</t>
  </si>
  <si>
    <t>vidange d'huile moteur 15W40
changement du filtre a huile et filtre a gasoil 
841868 km</t>
  </si>
  <si>
    <t xml:space="preserve">mise a niveau d'huil moteur </t>
  </si>
  <si>
    <t>durite d'huile</t>
  </si>
  <si>
    <t xml:space="preserve">réparation du fuite d'huuile hydraulique et mise 
a niveau d'huile </t>
  </si>
  <si>
    <t xml:space="preserve">démarrege du mmoteur </t>
  </si>
  <si>
    <t xml:space="preserve">réparation et tarage des injecteur s 
changement du pompe d'injection récupereé du laferaille </t>
  </si>
  <si>
    <t>réparation d'eclaiare et changement des lampes 
vidange d'huile moteur 15W40
lavage et graissage generale d'engin 
mise a niveau d'huile  de frein 
642000</t>
  </si>
  <si>
    <t>167813
167834</t>
  </si>
  <si>
    <t xml:space="preserve">réparaton d'eclairage </t>
  </si>
  <si>
    <t xml:space="preserve">changement du quatre pneu ref 315/80R22,5 pour plateau
réparation d'eclairage </t>
  </si>
  <si>
    <t>167835
167815</t>
  </si>
  <si>
    <t xml:space="preserve">pourriture </t>
  </si>
  <si>
    <t>168280
168265
168259
168719
168707
168844
16809
168808</t>
  </si>
  <si>
    <t>vidange d'huile moteur  15W40
95400 km</t>
  </si>
  <si>
    <t>changement du deux battrie de démarrage 12 M9
Vidange d'hile moteur 15W40
réparation du probleme au niveau du grue de levage et changement du vanne et filtre du grue 
701924 km</t>
  </si>
  <si>
    <t>167805
167845</t>
  </si>
  <si>
    <t xml:space="preserve">pare choc avant </t>
  </si>
  <si>
    <t xml:space="preserve">réparation du pare choc avant en polyster 
 endommage a cause d'un accident 
réparation d'eclairage et peinture du pare choc avant </t>
  </si>
  <si>
    <t>168708
167264
168257
167842</t>
  </si>
  <si>
    <t>vidange d'huile moteur et lavage et graissage generale d'engin 
305471 km</t>
  </si>
  <si>
    <t>roue du plateau</t>
  </si>
  <si>
    <t xml:space="preserve">réparation du fixation du rous arriere droit 
pour plateau et changemebnt des roullement </t>
  </si>
  <si>
    <t>changement du deux pneu ref 12R22,5</t>
  </si>
  <si>
    <t xml:space="preserve">entretien systematique </t>
  </si>
  <si>
    <t>fuited'huile</t>
  </si>
  <si>
    <t xml:space="preserve">changement du pipe d'eau  achat du laferaille </t>
  </si>
  <si>
    <t>vidange d'huile moteur 15W40
souflege du filtre a air 
149600 km</t>
  </si>
  <si>
    <t xml:space="preserve">pipe d'eau </t>
  </si>
  <si>
    <t>réparation du fuite d'eau 
vidange d'huile moteur 15W40
souflage du filtre a air 
netoyyage et graisssage d'engin 
854007 km</t>
  </si>
  <si>
    <t>vidange d'huile mmoteur 15W40
lavage et graissage d'engin 
250665 km</t>
  </si>
  <si>
    <t xml:space="preserve">fuite d'air adm </t>
  </si>
  <si>
    <t xml:space="preserve">filtre a  air </t>
  </si>
  <si>
    <t xml:space="preserve">réparation du fuite au noveau du filtre a air </t>
  </si>
  <si>
    <t>vidange d'huile mmoteur 15W40
lavage et graissage d'engin 
réparation du fixation du roue arriere droit 
935 h</t>
  </si>
  <si>
    <t xml:space="preserve">réparation d'eclairage et changementy des lampes </t>
  </si>
  <si>
    <t xml:space="preserve">garniture de fein </t>
  </si>
  <si>
    <t>réparation du freinage et changent et changement du deux jeu de garniture de frein 
des arrét de graisse moyeu rétroveseur coté  droit 
support rétroveur coté gauche 
jeu du balai d'essuie glece 
réparation du silent bloc cabenne 
vidange d'huile moteur 15W40
changement du deux pneu ref 11r22,5 c2s350807 / c2s530814
456700 km</t>
  </si>
  <si>
    <t>168737
168745
168737
168504
169502</t>
  </si>
  <si>
    <t>vidange d'huile moteur 15W40
lavage et graissage generale d'engin 
536000 km</t>
  </si>
  <si>
    <t>vidange d'huile moteur 15W40
lavage et graissage generale d'engin 
824800 km</t>
  </si>
  <si>
    <t xml:space="preserve">réparation du probleme de fuite de liquide de refroidissement et changement du pipe d'eau 
et kit réparation du compresseur d'air comprimé 
réparation d'eclairage et changement de deux optique avant g et droit 
réparation d'eclairage 
reparation du fixation des optique </t>
  </si>
  <si>
    <t>168726
168730</t>
  </si>
  <si>
    <t xml:space="preserve">réparation d'eclairage et changemment des lampes </t>
  </si>
  <si>
    <t>réparation du probleme d'injection gasoil 
changement du pompe d'amorssage neuf GAT avec prefiltre 
réparation crevaison pneu avant gauche
réparation d'injection gasoil 
vidange d'huile moteur 15W40
20578 h</t>
  </si>
  <si>
    <t xml:space="preserve">réparation du tole du carosseri et peinture du retouche arriere et avant </t>
  </si>
  <si>
    <t>169514
169519</t>
  </si>
  <si>
    <t>peinture generale d'engin 
changement du joint culasse 
changement du pompe a eau 
changement du deux pneu arriere occasion acchat du laferaille ment du jante arriere 
vidange d'huile moteur 15W40
changement du cable d'accelerateur
changement du contact de démarrage 
montage du plexyglace avant et arriere 
débouchage du radiateur 
réparation d'essieu arriere 
12033 h</t>
  </si>
  <si>
    <t xml:space="preserve">réparation du freianage et changement des arrét de graisse 
3 roullement de roue  
 goujon du roue arriere et avant 
2  jeu de garniture de frein 
réparatio et débouchache du radiateur 
tarage des injecteur 
changement du pompe de gasoil et filtre a gasoil 
changement du master de frein 
vidange d'huile moteur 15W40 
      744590 km
</t>
  </si>
  <si>
    <t xml:space="preserve">réparation du probleme de freinage et changement des garniture de frein tracteur et plateau 
des arrét de graisse moyeu de plateau 
4 roullement de roue coté droit 
2 came de reglage ferin tracteur 
réparation d'eclairage 
cabl spirale de remorquage </t>
  </si>
  <si>
    <t xml:space="preserve">réparation du probleme d'injection gasoil et changemen du filtre a gasoil 
et des douille des injecteur récuperé du laferaille </t>
  </si>
  <si>
    <t xml:space="preserve">pedale de frein </t>
  </si>
  <si>
    <t xml:space="preserve">Changement du pedale de frein et réparation du fuite d'air </t>
  </si>
  <si>
    <t>pneus</t>
  </si>
  <si>
    <t>réparation du fuite d'air et chagement des pneus 4 pneu ref 315/80R22,5 SCANIAcariere changement du criq de levage cabine 
changement du pare brise aavant</t>
  </si>
  <si>
    <t xml:space="preserve">fixation roue arriere </t>
  </si>
  <si>
    <t>des roullements</t>
  </si>
  <si>
    <t>changement du kit moyeu arriere gauche</t>
  </si>
  <si>
    <t xml:space="preserve">filtre a air </t>
  </si>
  <si>
    <t>changemnt du filtre a air colmatté
12039 h</t>
  </si>
  <si>
    <t xml:space="preserve">changement du deux pneus ref 11R22,5 </t>
  </si>
  <si>
    <t>vidange d'huile moteur 15W40 changement du filtre a huile et filtre a gasoil ET PREFILTRE  a gasoil 
réparation du pare choc avant 
215937 km</t>
  </si>
  <si>
    <t>changement du filtre a air ref me073160</t>
  </si>
  <si>
    <t xml:space="preserve">bruit anormale  </t>
  </si>
  <si>
    <t xml:space="preserve">support cardon </t>
  </si>
  <si>
    <t xml:space="preserve">sotie hors sté pour déppanae du camion et changement du support cardon </t>
  </si>
  <si>
    <t>vidange d'huile moteur 15W40
26194 km</t>
  </si>
  <si>
    <t xml:space="preserve">filttratino d'huile </t>
  </si>
  <si>
    <t>changement du filtre d'huile de boite de vitesse percee</t>
  </si>
  <si>
    <t>vidange d'huile moteur 15W40
lavage et graissage generale d'engin 
4035</t>
  </si>
  <si>
    <t>vidange d'huile moteur 15W40
lavage et graissage generale d'engin 
3514 h</t>
  </si>
  <si>
    <t>vidange d'huile moteur 15W40
changement du 
filtre a huile ref 2631145010 
 filtre a gasoil  ref 3194541002 
filtre a air  281305H002
104175 km</t>
  </si>
  <si>
    <t>vidange d'huile moteur 15W40
changement du 
filtre a huile ref 2631145010 
 filtre a gasoil  ref 3194541002 
filtre a air  281305H002
152913 km</t>
  </si>
  <si>
    <t>changement du deux pneu ref 250/70R12
Montage du plaque de plexyglace emplaceent du pare brise avant et arriere 
vidange d'huile moteur 15W40
1593 h</t>
  </si>
  <si>
    <t>168983
169543
168981</t>
  </si>
  <si>
    <t>changement du deux pneu ref 12R22,5
656400 km
jd1304986d
jdb04837d</t>
  </si>
  <si>
    <t>25/9/</t>
  </si>
  <si>
    <t xml:space="preserve">pont avant </t>
  </si>
  <si>
    <t xml:space="preserve">graissage par huile </t>
  </si>
  <si>
    <t>168965
169521
168957
168976
168972
168546
168</t>
  </si>
  <si>
    <t>changement du quatre pneu ref 315/80R22,5 XMULTI
 plh 203329b
plh26015b 
poh260032b 
puh22843b</t>
  </si>
  <si>
    <t xml:space="preserve">courroie </t>
  </si>
  <si>
    <t xml:space="preserve">changement du jeu de courroie d'accessoires pour ventiateur et alternateur de charge battrie </t>
  </si>
  <si>
    <t>168975
1</t>
  </si>
  <si>
    <t xml:space="preserve">feu rouge arriere </t>
  </si>
  <si>
    <t>changement du feu rouge arriere endommage a cause d'un accident</t>
  </si>
  <si>
    <t>vidange d'huile moteur et changement du filtre a huile et filtre agasoil et prefiltre a gasoil 
760117 km</t>
  </si>
  <si>
    <t>changement du deux jeu de plaquette avant et arriere 
changement du quatre disque de frein avant et arriere 
217600 km</t>
  </si>
  <si>
    <t>Pneu N°1</t>
  </si>
  <si>
    <t>Pneu N°2</t>
  </si>
  <si>
    <t>Pneu N°3</t>
  </si>
  <si>
    <t>Pneu N°4</t>
  </si>
  <si>
    <t>Pneu N°5</t>
  </si>
  <si>
    <t>Pneu N°6</t>
  </si>
  <si>
    <t>Pneu N°7</t>
  </si>
  <si>
    <t>Pneu N°8</t>
  </si>
  <si>
    <t>Pneu N°9</t>
  </si>
  <si>
    <t>Pneu °10</t>
  </si>
  <si>
    <t>Pneu N°11</t>
  </si>
  <si>
    <t>Pneu N°12</t>
  </si>
  <si>
    <t>Pneu N°13</t>
  </si>
  <si>
    <t>Pneu N°14</t>
  </si>
  <si>
    <t>Pneu Secour N°1</t>
  </si>
  <si>
    <t>Pneu Secour N°2</t>
  </si>
  <si>
    <t>Type véhicule</t>
  </si>
  <si>
    <t>Compteur</t>
  </si>
  <si>
    <t>Reference</t>
  </si>
  <si>
    <t>N serie</t>
  </si>
  <si>
    <t>Date montage</t>
  </si>
  <si>
    <t>Compteur1</t>
  </si>
  <si>
    <t>KM restant</t>
  </si>
  <si>
    <t>Reference2</t>
  </si>
  <si>
    <t>N serie3</t>
  </si>
  <si>
    <t>Date montage4</t>
  </si>
  <si>
    <t>Compteur2</t>
  </si>
  <si>
    <t>KM restant6</t>
  </si>
  <si>
    <t>Reference3</t>
  </si>
  <si>
    <t>N serie4</t>
  </si>
  <si>
    <t>Date montage5</t>
  </si>
  <si>
    <t>Compteur3</t>
  </si>
  <si>
    <t>KM restant7</t>
  </si>
  <si>
    <t>Reference4</t>
  </si>
  <si>
    <t>N serie5</t>
  </si>
  <si>
    <t>Date montage6</t>
  </si>
  <si>
    <t>Compteur4</t>
  </si>
  <si>
    <t>KM restant8</t>
  </si>
  <si>
    <t>Reference5</t>
  </si>
  <si>
    <t>N serie6</t>
  </si>
  <si>
    <t>Date montage7</t>
  </si>
  <si>
    <t>Compteur5</t>
  </si>
  <si>
    <t>KM restant9</t>
  </si>
  <si>
    <t>Reference6</t>
  </si>
  <si>
    <t>N serie7</t>
  </si>
  <si>
    <t>Date montage8</t>
  </si>
  <si>
    <t>Compteur6</t>
  </si>
  <si>
    <t>KM restant10</t>
  </si>
  <si>
    <t>Reference7</t>
  </si>
  <si>
    <t>N serie8</t>
  </si>
  <si>
    <t>Date montage9</t>
  </si>
  <si>
    <t>Compteur7</t>
  </si>
  <si>
    <t>KM restant11</t>
  </si>
  <si>
    <t>Reference8</t>
  </si>
  <si>
    <t>N serie9</t>
  </si>
  <si>
    <t>Date montage10</t>
  </si>
  <si>
    <t>Compteur8</t>
  </si>
  <si>
    <t>KM restant12</t>
  </si>
  <si>
    <t>Reference9</t>
  </si>
  <si>
    <t>N serie10</t>
  </si>
  <si>
    <t>Date montage11</t>
  </si>
  <si>
    <t>Compteur9</t>
  </si>
  <si>
    <t>KM restant13</t>
  </si>
  <si>
    <t>Reference10</t>
  </si>
  <si>
    <t>N serie11</t>
  </si>
  <si>
    <t>Date montage12</t>
  </si>
  <si>
    <t>Compteur10</t>
  </si>
  <si>
    <t>KM restant14</t>
  </si>
  <si>
    <t>Reference11</t>
  </si>
  <si>
    <t>N serie12</t>
  </si>
  <si>
    <t>Date montage13</t>
  </si>
  <si>
    <t>Compteur11</t>
  </si>
  <si>
    <t>KM restant15</t>
  </si>
  <si>
    <t>Reference12</t>
  </si>
  <si>
    <t>N serie13</t>
  </si>
  <si>
    <t>Date montage14</t>
  </si>
  <si>
    <t>Compteur12</t>
  </si>
  <si>
    <t>KM restant16</t>
  </si>
  <si>
    <t>Reference13</t>
  </si>
  <si>
    <t>N serie14</t>
  </si>
  <si>
    <t>Date montage15</t>
  </si>
  <si>
    <t>Compteur13</t>
  </si>
  <si>
    <t>KM restant17</t>
  </si>
  <si>
    <t>Reference14</t>
  </si>
  <si>
    <t>N serie15</t>
  </si>
  <si>
    <t>Date montage16</t>
  </si>
  <si>
    <t>Compteur14</t>
  </si>
  <si>
    <t>KM restant18</t>
  </si>
  <si>
    <t>Reference15</t>
  </si>
  <si>
    <t>N serie16</t>
  </si>
  <si>
    <t>Date montage17</t>
  </si>
  <si>
    <t>CompteurS1</t>
  </si>
  <si>
    <t>KM restant19</t>
  </si>
  <si>
    <t>Reference16</t>
  </si>
  <si>
    <t>N serie17</t>
  </si>
  <si>
    <t>Date montage18</t>
  </si>
  <si>
    <t>CompteurS2</t>
  </si>
  <si>
    <t>KM restant20</t>
  </si>
  <si>
    <t>Page: 1/1</t>
  </si>
  <si>
    <t>Référence</t>
  </si>
  <si>
    <t>Numéro de série</t>
  </si>
  <si>
    <t>Martricule</t>
  </si>
  <si>
    <t>Chauffeur</t>
  </si>
  <si>
    <t>KM Restants</t>
  </si>
  <si>
    <t>Pneus coté droit</t>
  </si>
  <si>
    <t>Pneus coté gauche</t>
  </si>
  <si>
    <t>Pneus de secours</t>
  </si>
  <si>
    <t>315/80R22,5</t>
  </si>
  <si>
    <t>NHB10859A</t>
  </si>
  <si>
    <t>RHB10446A</t>
  </si>
  <si>
    <t>HUN75825A</t>
  </si>
  <si>
    <t>OUN00469A</t>
  </si>
  <si>
    <t>OUN02261A</t>
  </si>
  <si>
    <t>12R22,5XZ</t>
  </si>
  <si>
    <t>JDB07368D</t>
  </si>
  <si>
    <t>changement du deu pneu ref 12R22,5
HDA02166C
HDA05386C
789225 KM</t>
  </si>
  <si>
    <t>HDA02166C</t>
  </si>
  <si>
    <t>MDD07319A</t>
  </si>
  <si>
    <t>F2R601006</t>
  </si>
  <si>
    <t>PLH203329B</t>
  </si>
  <si>
    <t>PLH26015B</t>
  </si>
  <si>
    <t>POH260032B</t>
  </si>
  <si>
    <t>PUH22843B</t>
  </si>
  <si>
    <t>295/80R22,5</t>
  </si>
  <si>
    <t>MDA03563</t>
  </si>
  <si>
    <t xml:space="preserve">changement du kit d'embrayage complet 
disque et plateau et butée </t>
  </si>
  <si>
    <t>170253
170258
170257
170255</t>
  </si>
  <si>
    <t xml:space="preserve">réparation d'alternateur de charge battrie </t>
  </si>
  <si>
    <t xml:space="preserve">peinture genarale d'engin </t>
  </si>
  <si>
    <t xml:space="preserve">réparation du fuite de leiquide de refrdoidissement </t>
  </si>
  <si>
    <t xml:space="preserve">transmission </t>
  </si>
  <si>
    <t xml:space="preserve">sortie hors ste pour déppané le camion et réparation du probleme au niveau du transmission 
changement du bite de vitesse 
achat bon occasion 
changement du butéé et disque d'embrayage </t>
  </si>
  <si>
    <t>170265
170256</t>
  </si>
  <si>
    <t xml:space="preserve">réparation du probleme de freinage et changement du pompe de frein 
recupere du laferaile </t>
  </si>
  <si>
    <t xml:space="preserve">montage des cataphotes </t>
  </si>
  <si>
    <t xml:space="preserve">miose a nivaeau d'huile hydrailique </t>
  </si>
  <si>
    <t xml:space="preserve">joint du flexible </t>
  </si>
  <si>
    <t xml:space="preserve">réparation du fuite d'huile hydraulique </t>
  </si>
  <si>
    <t xml:space="preserve">réparation du probleme d'injection gasoil 
changement des poussoires avec plaque et deux culbuteur </t>
  </si>
  <si>
    <t>170288
170287</t>
  </si>
  <si>
    <t xml:space="preserve">durite d'huile </t>
  </si>
  <si>
    <t>rparation du fuite d'huile hydrulique et vidange d'huile du boite de vitesse 
et pont arriere 
et huile moteur 
et huile du deux reducteur 
724483 km</t>
  </si>
  <si>
    <t>changement du battrie de démarrage 12V L3</t>
  </si>
  <si>
    <t>changement des elemet de suspontion amortiseur av et ar +des chappe de direction +bielette de suspontion +triangle de suspontion +</t>
  </si>
  <si>
    <t xml:space="preserve">changement ders feu de signalisation des cataphotes </t>
  </si>
  <si>
    <t xml:space="preserve">réparation d'eclairage et changement ed lampes </t>
  </si>
  <si>
    <t xml:space="preserve">monque de charge battrie </t>
  </si>
  <si>
    <t>entretien systemtique</t>
  </si>
  <si>
    <t>vidange d'huile de boite de vbitesse t
vidange d'huile moteur 15W40 huile ola 
264000 km</t>
  </si>
  <si>
    <t>170285
170289</t>
  </si>
  <si>
    <t>vidange d'huile moteur 15W40 huile ola 
lavage et graissage generalke d'engin 
548600 km</t>
  </si>
  <si>
    <t>changement du deux pneu ref 12R22,5
serie JDB073D  /   JDB07368D</t>
  </si>
  <si>
    <t xml:space="preserve">electrovalve </t>
  </si>
  <si>
    <t xml:space="preserve">changement du deux electovzlve </t>
  </si>
  <si>
    <t>mise a nioveau</t>
  </si>
  <si>
    <t>mise aniveau d'huile hydraulique aw 68</t>
  </si>
  <si>
    <t>air comprimé</t>
  </si>
  <si>
    <t xml:space="preserve">presion dair insifusant </t>
  </si>
  <si>
    <t>171125
171136
171140
171113</t>
  </si>
  <si>
    <t>,vidange d'huile moteur 15W40
lavage et netoyage d'engin 
souflage d filtre a air 
1839 h</t>
  </si>
  <si>
    <t>vidange d'huile moteur 15W40 huile ola 
lavage et graissage generale d'engin 
325000 km</t>
  </si>
  <si>
    <t>171116
171117</t>
  </si>
  <si>
    <t xml:space="preserve">changement du deux pneu ref 11R22,5 r187
serie c25781223  c25930735 </t>
  </si>
  <si>
    <t xml:space="preserve">P </t>
  </si>
  <si>
    <t>réparation du fuite de liquide de refroidissement 
et changement d'antigel du circuit 
vidange d'huile moteur 15w40 HUILE OLA 
lavage et graissae generale d'engin 
319000 km</t>
  </si>
  <si>
    <t xml:space="preserve">changement du flexibe de lavage </t>
  </si>
  <si>
    <t xml:space="preserve">ressort a lame </t>
  </si>
  <si>
    <t>171130
171146</t>
  </si>
  <si>
    <t xml:space="preserve">tirette </t>
  </si>
  <si>
    <t xml:space="preserve">changement du  quatre pneu ref 145R13 </t>
  </si>
  <si>
    <t>171135
1711425</t>
  </si>
  <si>
    <t>changement du radiateur de liquide de refroidissement 
changement du pompe d'alimentation gasoil 
changement du filtre a air 
vidange d'huile moteur 15W40
1090 h</t>
  </si>
  <si>
    <t>171141
171465
171460
171456</t>
  </si>
  <si>
    <t>vidange d'huile moteur 15W40
lavage et graissage generale d'eengin 
26402 h</t>
  </si>
  <si>
    <t>changement du tirette de marche avan arriere
chagement du filtre a air 
vidange d'huile moteur 15W40
1489 h</t>
  </si>
  <si>
    <t>dépose et pose du moteur thermique  pour changé leur pompe a huile moteur et reglage du jeu de souppape 
réparation du pot d'echappement changement du pochette joint complete et joint culasse 
vidange d'huile d'huile moteur et changeement du filtre a huile et filtre a gasoil 
3966 h</t>
  </si>
  <si>
    <t xml:space="preserve">changement du kit réparation comprezsseur d'air comprimé 
changement du déclecheur d'air adaptable 
débouchage et netyage du circuit d'air comprimé 
changement du deux ceinture de serrage reservoire gasoil 
vidange d'"huile moteur et changement du fitre a gasoil 
45622 km
</t>
  </si>
  <si>
    <t>en coure  de réparation</t>
  </si>
  <si>
    <t>vidange d'huile moteur et changement du filtre a huile et filtre a air et filtre a gasoil
173400 km</t>
  </si>
  <si>
    <t>vidange d'huile moteur et changement du filtre a huile et filtre a air et filtre a gasoil
314239 km</t>
  </si>
  <si>
    <t xml:space="preserve">changemlent des injecteur acheté du sté tractafric
reglage du jeu des soupape 
réparaton du circuit ed gasoil </t>
  </si>
  <si>
    <t>171134
171765
171755</t>
  </si>
  <si>
    <t>moteur endommage</t>
  </si>
  <si>
    <t>171768
171762
171458
171752
171493
171485
171472
171470
171467</t>
  </si>
  <si>
    <t xml:space="preserve">peinture generale d'engin 
changement du feu rouge arriere droit </t>
  </si>
  <si>
    <t>171758
171485
171489</t>
  </si>
  <si>
    <t>suspension</t>
  </si>
  <si>
    <t xml:space="preserve">reparation des probleme au niveau du suspension 
et changement des amortissurs avec des bielle de susontion et des triangle de suspontion 
et bielle de suspontion 
alternateur de charge battrie 
peintuure du capot moteur et aile droit
plaquette de freina avrnt et disque de frein avant 
des amortisseur arriere </t>
  </si>
  <si>
    <t>171452
171479
171484
171474</t>
  </si>
  <si>
    <t>pont avant</t>
  </si>
  <si>
    <t>manque de frein</t>
  </si>
  <si>
    <t>réparation du proleme de freinage et changemenet des joiit d'etanchiete pour disque de frein et deux plateau de serrage et deux disque de frein ( deux jeu ) pour pont avant 
réparation du démarrege et reglage du jeu de soupape</t>
  </si>
  <si>
    <t>172729
171478
171457
171459</t>
  </si>
  <si>
    <t xml:space="preserve">réparation du démarrage et changement dees coses kbattrie </t>
  </si>
  <si>
    <t>tuyau d'air</t>
  </si>
  <si>
    <t>réparation du fuited'air  et chanelment des prise rapide</t>
  </si>
  <si>
    <t>réparation du fuite d'huile et changementr du joint culasse et joint du cache soupepe 
reglage du jeu de soupepe 
vidange d'huile moteur et graissage llavage genarale d'eb*ngin 
556000 kml</t>
  </si>
  <si>
    <t>171490
171468
171492
171496</t>
  </si>
  <si>
    <t xml:space="preserve">changement du pompe de fren achat du piece adaptable 
mise a niveau d'huile de frein </t>
  </si>
  <si>
    <t xml:space="preserve">réparation 'eclairage et cangement des lampes </t>
  </si>
  <si>
    <t>171454
171453
171143
171279</t>
  </si>
  <si>
    <t>linde</t>
  </si>
  <si>
    <t xml:space="preserve">réparation du dé"marreur et changement du jeu des bagues et relai démarreur 
réparatio fuite d'huile hydraulique </t>
  </si>
  <si>
    <t>melange d'huile avec l'eau</t>
  </si>
  <si>
    <t xml:space="preserve">réparation du moteur thermique et changement 
du pochette joint complet des joint des joint des chemise 
des couussinet de bielle et jeu des segment 
du pompe a eau 
joint culasse 
contrôle des chemise </t>
  </si>
  <si>
    <t>changeent du kit d'embrayage complet disque d'embrayage et plateau de serrage et butée 
changemment du deux tambour de frein et garniture de frein avant avec arrét de graisse moyeu de roue 
kit réparation master de frein 
111600 km</t>
  </si>
  <si>
    <t>171756
171752
171751</t>
  </si>
  <si>
    <t xml:space="preserve">changeent des lampes et réparation d'eclairage </t>
  </si>
  <si>
    <t xml:space="preserve">roullemet </t>
  </si>
  <si>
    <t>changemlent du kit réparation d'e moyeu de roue coté arriere gauche</t>
  </si>
  <si>
    <t>des battries</t>
  </si>
  <si>
    <t>réparation du probleme de démarrage et changement des cosses battrie 0</t>
  </si>
  <si>
    <t>joint du pneu</t>
  </si>
  <si>
    <t xml:space="preserve">changement du joint du pneu tubleeesse </t>
  </si>
  <si>
    <t xml:space="preserve">réparation du probleme au niveeau du boite de vitesse </t>
  </si>
  <si>
    <t>vidange d'huile moteur 15w40
réparation du fuite de gasoil
20694</t>
  </si>
  <si>
    <t>compreseur d'air</t>
  </si>
  <si>
    <t xml:space="preserve">changement du kit compresseur d'air comprimé 
déclencheur d'air  adaptable 
réparation d'eclairage </t>
  </si>
  <si>
    <t>172773
174571</t>
  </si>
  <si>
    <t xml:space="preserve">réparation du freinage et changement des garniture defrein 
jeu avant 
et quatre tambour de frein 
neuf 
4 arrét de graisse 
jeu de garniture de frein coyté avant 
kit d'embrayage complet 
kitde réparation mester de frein 
2  croisilon de cardon 
</t>
  </si>
  <si>
    <t>172795
172780</t>
  </si>
  <si>
    <t xml:space="preserve">refroidissement erriguliaire </t>
  </si>
  <si>
    <t xml:space="preserve">changment du joint de culasse 
et contrôle du culasse </t>
  </si>
  <si>
    <t>173759
173766</t>
  </si>
  <si>
    <t xml:space="preserve">réparation du flexible hydraulique et cangement du flexible hydraulique </t>
  </si>
  <si>
    <t>changement du quatre pneu ref 315/80R22,5 xmulti hdz</t>
  </si>
  <si>
    <t xml:space="preserve">sortie hors sté et reparation du probleme d'embrayage et changement du disque d'embrayage marque adapteble </t>
  </si>
  <si>
    <t>vase d'expantion</t>
  </si>
  <si>
    <t xml:space="preserve">réparation du probleme de freinage et chengement du vase d'expantion </t>
  </si>
  <si>
    <t>173765
173785</t>
  </si>
  <si>
    <t xml:space="preserve">répareation du probleme de freinage et reglage du jeu de freinage </t>
  </si>
  <si>
    <t>changement du deux pneu ref 10*16,5/8</t>
  </si>
  <si>
    <t>plaque de distribution</t>
  </si>
  <si>
    <t xml:space="preserve">changement du plaque de distreibution avant avec joint </t>
  </si>
  <si>
    <t>173770
173786
173779
173781</t>
  </si>
  <si>
    <t>vidange d'huile moteur 15w40
changement du filtre a gasoil et filtre a huile moteur 
563250 km</t>
  </si>
  <si>
    <t xml:space="preserve">changement du jeu de garniture de frein arriere 
reglage du frein avant 
</t>
  </si>
  <si>
    <t>17435
173789</t>
  </si>
  <si>
    <t xml:space="preserve">réparation du fixation de chaine ellimination du verin laterale </t>
  </si>
  <si>
    <t>kit moyeu</t>
  </si>
  <si>
    <t>changement du kit moyeude roue arriere droit</t>
  </si>
  <si>
    <t>réparation du probleme de refroidiisement moteur et réparation du fuite d'eau</t>
  </si>
  <si>
    <t xml:space="preserve">réparation du fixation du chaine de levage </t>
  </si>
  <si>
    <t xml:space="preserve">camion en panne </t>
  </si>
  <si>
    <t xml:space="preserve">sortie hors ste pour réparation du probleme de fuite d'huile d'embrayage au niveau du pompe d'embrayage inferieure </t>
  </si>
  <si>
    <t>marche av ar</t>
  </si>
  <si>
    <t>174560
174563
174560
174597
174500
174587
174562</t>
  </si>
  <si>
    <t>sortie hors ste pour déppanage du camion e changement de deux courroie de ventulateur et pompe</t>
  </si>
  <si>
    <t xml:space="preserve">réparation des elemnt de suspention </t>
  </si>
  <si>
    <t>sortie hors sté pour réaparation du camion renault 
dépose et pose du miteur thermique pour change leur 
des poussoires endommagée 
arbre a came 
pochette joint complet 
pompe a huile moteur 
kit d"embrayage complet 
pompe a eau  capteur de posision moteur manometre d'hile moteur 
vidange d'huile moteur et changement du filtre a huile 
743000 km</t>
  </si>
  <si>
    <t xml:space="preserve">changement du deux jeu de garniture de frein 
rectification des tambour de frein 
vidange d'huile mmoteiur 
changement des filtre a huile et filtre agasoil 
836200 km </t>
  </si>
  <si>
    <t>174570
174648</t>
  </si>
  <si>
    <t xml:space="preserve">contact de démarrage </t>
  </si>
  <si>
    <t>réparation d'essieu arriere changeent des chappe de direction et des rotule de direction et des bagues usée 
changement du kit moyeu de roue 
changement du axe moyeu de roue arriere droit</t>
  </si>
  <si>
    <t>173772
173792
173455
174574
174882
174881</t>
  </si>
  <si>
    <t xml:space="preserve">changement du support cardon
lavag et graissage generale d'engin </t>
  </si>
  <si>
    <t>changement du deux support cardon et 3 crosillon de cardon 
réparation du frein de stationnement 
vidange d'huile moteur 15 W40
vidange d'ehuiele de boite de vitsees et pont arriere 
161800 km</t>
  </si>
  <si>
    <t>174582
174594
174596</t>
  </si>
  <si>
    <t xml:space="preserve">réparation du probleme de transmission et changement du boite de vitesse achat bon occasion 
</t>
  </si>
  <si>
    <t>174584
174591
174877
174879</t>
  </si>
  <si>
    <t xml:space="preserve">réparation </t>
  </si>
  <si>
    <t xml:space="preserve">réparation du tachygraphe </t>
  </si>
  <si>
    <t xml:space="preserve">changement du deux battrie ref l5
reparation d'eclairage </t>
  </si>
  <si>
    <t xml:space="preserve">relais démarreur </t>
  </si>
  <si>
    <t xml:space="preserve">changement du relais démarreur 
réparation du fute d'huile 
réparation du fuite d'huile </t>
  </si>
  <si>
    <t>174858
174871</t>
  </si>
  <si>
    <t xml:space="preserve">réparation du probleme de pont avant pour marche avant arriere 
récuperation du pont avant du chariot elevateur linde H40
pour essaie 
</t>
  </si>
  <si>
    <t>174876
174863
174883
174436
175436
175434
175897
175588</t>
  </si>
  <si>
    <t xml:space="preserve">réparatin d'eclairageet changeùent des lampes </t>
  </si>
  <si>
    <t xml:space="preserve">réparation du fuite d'eau et changement du durite dde liquide de refroidissement </t>
  </si>
  <si>
    <t xml:space="preserve">vidange d'ehuile moteur 15W40
lavage et graissage generale d'engin 
réparation du fuite d'huile </t>
  </si>
  <si>
    <t xml:space="preserve">réparation du problème de démarrage et changement du flasque de démarreur 
réparation du fute d'eau </t>
  </si>
  <si>
    <t xml:space="preserve">réparation d'eclairage e"t changement des lampes </t>
  </si>
  <si>
    <t>174872
174875</t>
  </si>
  <si>
    <t>vidange d'huile moteur 15W40
lavage et graissage dengin 
241900 km</t>
  </si>
  <si>
    <t xml:space="preserve">mélange d'huile avec eau </t>
  </si>
  <si>
    <t xml:space="preserve">réfrigarant moteur </t>
  </si>
  <si>
    <t xml:space="preserve">lavage du circuit de refroidissement moteur 
réparation du fuite d'eau </t>
  </si>
  <si>
    <t xml:space="preserve">courroie d'acessoires </t>
  </si>
  <si>
    <t xml:space="preserve">jeu des tondeur </t>
  </si>
  <si>
    <t>changement de jeu de courroie d'alternateur complet</t>
  </si>
  <si>
    <t>174880
175406
175408</t>
  </si>
  <si>
    <t>vidange d'huile moteur et lavage du circuite de refroidissement 
lavage et graissage generale d'engin 
48300 km</t>
  </si>
  <si>
    <t xml:space="preserve">fuite f'huile </t>
  </si>
  <si>
    <t xml:space="preserve">réparation du flexible d'huile et changemnt du flexible </t>
  </si>
  <si>
    <t>reparation du prbleme marche av ar</t>
  </si>
  <si>
    <t xml:space="preserve">R2PARATION DU PROBLEME DE MARCHE AVANT ARRIERE AU niveau du boite de vitesse 
changement du pompe d'huile de boite de itesse 
achat bon occasion </t>
  </si>
  <si>
    <t>175402
175410
175418</t>
  </si>
  <si>
    <t xml:space="preserve">réparation du fuite d'air comprimé 
montage du klaxon 
changement du jeu de balai d'eesuie glace </t>
  </si>
  <si>
    <t xml:space="preserve">kit moyeu de roue </t>
  </si>
  <si>
    <t xml:space="preserve">changement du kite reparation du moyeu de roue </t>
  </si>
  <si>
    <t>175407
175405</t>
  </si>
  <si>
    <t>pompe d'hule moteur</t>
  </si>
  <si>
    <t xml:space="preserve">changement du pompe d'huile moteur </t>
  </si>
  <si>
    <t xml:space="preserve">réparation d'ecmlairage et cjhangement des lampes </t>
  </si>
  <si>
    <t xml:space="preserve">plaquette de frein </t>
  </si>
  <si>
    <t xml:space="preserve">réparatoion du fuite d'air et changement du flexible </t>
  </si>
  <si>
    <t xml:space="preserve">fuite d'huie </t>
  </si>
  <si>
    <t>réparation du fuite d'huile et changement du flexible hydraulique pour circuit de direction assisté</t>
  </si>
  <si>
    <t xml:space="preserve">réparation du fuite d'ea&amp;u au niveau du pipe d'eau pour déplacé le camion a laferaile au but de changé lacabine et réparation du carosserie 
réparation du probleme au niveau dumoteur thermique </t>
  </si>
  <si>
    <t xml:space="preserve">changement duu deux jeu de garniture de frein et rectification des tambour de frein 
chngement des roullement de roue arriere complet 
des arrét de graisse 
</t>
  </si>
  <si>
    <t>175415
175421
175437
175437
175440
175442</t>
  </si>
  <si>
    <t xml:space="preserve">culasse </t>
  </si>
  <si>
    <t xml:space="preserve">melange du gasoil avec liquide de refroidissement </t>
  </si>
  <si>
    <t xml:space="preserve">dépose et pose du culasse 
et changeent des sleves des injecteurs 
changement des guides soupape des soupape des siege soupape 
des soupape d''admision et d'echappement 
pochette roudage et joint culasse </t>
  </si>
  <si>
    <t xml:space="preserve">moyeu de roue </t>
  </si>
  <si>
    <t xml:space="preserve">fixation roue avant </t>
  </si>
  <si>
    <t xml:space="preserve">sortie hors societe pour réparé et changé le moyeu de roue endommagé (moyeu de roue acheté bon occasion )
avant droit </t>
  </si>
  <si>
    <t xml:space="preserve">dépose du boite de vitesse et démontage des pieces de boite de vitesse </t>
  </si>
  <si>
    <t>mise a niveau d'hhuile hydraulique AW68</t>
  </si>
  <si>
    <t xml:space="preserve">réparation d'eclairage et changement des lames </t>
  </si>
  <si>
    <t>changement du deux pneu ref 205/75R17,5
XZM124122  /  MVG MI</t>
  </si>
  <si>
    <t xml:space="preserve">Moyeu de roue </t>
  </si>
  <si>
    <t xml:space="preserve">démontage et montage de moyeu de plateau 
pour graissage et réparation </t>
  </si>
  <si>
    <t xml:space="preserve">tondeur du courroie </t>
  </si>
  <si>
    <t>tondeur endommagé</t>
  </si>
  <si>
    <t xml:space="preserve">changeent du jeu de courroie de distribution moyeu et jeu de courroie d'ccessoires </t>
  </si>
  <si>
    <t xml:space="preserve">vitre laterale </t>
  </si>
  <si>
    <t xml:space="preserve">changement du vitre laterale endommage a cause d'un accident </t>
  </si>
  <si>
    <t xml:space="preserve">changement du deux jeu de garniture de frein av et ar  et changement des roullement de moyeu pour essieu arriere 
et des arrét de graisse et 
plaque de refrigerant moteur 
</t>
  </si>
  <si>
    <t xml:space="preserve">tondeur de chaine </t>
  </si>
  <si>
    <t>changement du deux tondeur de chain confection par ATT</t>
  </si>
  <si>
    <t>changement du flkexible percé</t>
  </si>
  <si>
    <t xml:space="preserve">réparation d'eclairage et changement des lapmpes </t>
  </si>
  <si>
    <t xml:space="preserve">changement du pompe d'embrayage superieur 
et purge du circuit d'huile de'embrayage </t>
  </si>
  <si>
    <t>changement du deux pneu ref 315/80R22,5
PH197708  /  PUH21210B  /  PUH212288P</t>
  </si>
  <si>
    <t xml:space="preserve">amortisseur </t>
  </si>
  <si>
    <t xml:space="preserve">réparation du suspention et changement deudeux amortisseur avant </t>
  </si>
  <si>
    <t>reparation du fuite d'air et changement de flexible de gonflage et flexible d'air comprimé</t>
  </si>
  <si>
    <t xml:space="preserve">levier distributeur </t>
  </si>
  <si>
    <t xml:space="preserve">crdon levier </t>
  </si>
  <si>
    <t xml:space="preserve">changement du cardon de levier de distributeur hydraulique et réparation et réparation u fuite hydraulique </t>
  </si>
  <si>
    <t>177406
177421</t>
  </si>
  <si>
    <t xml:space="preserve">moteu et cabine </t>
  </si>
  <si>
    <t xml:space="preserve">pourriture 
temperature </t>
  </si>
  <si>
    <t>177432
177429
177408
177412
177688
177672</t>
  </si>
  <si>
    <t>changement du courroie d'alternateur de charge battrie 
camion panne a rabat</t>
  </si>
  <si>
    <t xml:space="preserve">vidange d'huile moteur 15W40
lavage et graissage generale d'engin 
26927 h </t>
  </si>
  <si>
    <t>177424
177425</t>
  </si>
  <si>
    <t>changement du joint cuasse et reoudage des soupape 
changement du pochette roudage et réparation et débouchage du radiatur 
vidnge d'huile moteur 
24120 h</t>
  </si>
  <si>
    <t>177426
177430
177440
177671
177676</t>
  </si>
  <si>
    <t>des fuites d'huile</t>
  </si>
  <si>
    <t xml:space="preserve">réparation du probleme de levage du grue 
déplacement du camion a sté (wafa hydraulique )
changement du pompe hydraulique et distributeur de levage du grue 
réparation des fuiutes et changement des flexible hydraulique 
</t>
  </si>
  <si>
    <t xml:space="preserve">changement du deux amortisseur endommagé </t>
  </si>
  <si>
    <t>177661
177443
177442
177661</t>
  </si>
  <si>
    <t xml:space="preserve">réparation d'eclaireg et changeùent des lampes
changement du klaxon 24 v </t>
  </si>
  <si>
    <t>vidange d'huile moteur et lavage grauissage genarale d'engin 
589600 km</t>
  </si>
  <si>
    <t>177466
177408
177448
177664
177682
177689
177693
177301
177305
178308</t>
  </si>
  <si>
    <t xml:space="preserve">arrét moteur </t>
  </si>
  <si>
    <t xml:space="preserve">changement du jeu du courroie d'accessoires avec tondeur et jeu du courroie de distribution </t>
  </si>
  <si>
    <t xml:space="preserve">réparation du fuite de gasoil et changement du tuyau d'ijection gasoil et refrigerant d'huile moteur et deux porte de cabine 
changement d'appareille d'air comprimé du plateau et dessiateur d'air 
</t>
  </si>
  <si>
    <t>plateau</t>
  </si>
  <si>
    <t>fixation roue</t>
  </si>
  <si>
    <t xml:space="preserve">changement du deux moyeu de roue arriere plateau complet avec de roulllement et des arrét de graisse 
réglage du jeu de garniture de frein 
réparation d'eclairage </t>
  </si>
  <si>
    <t>177683
177565
177674</t>
  </si>
  <si>
    <t xml:space="preserve">durite d'air </t>
  </si>
  <si>
    <t xml:space="preserve">changement  du durite d'ir de turbo compresseur </t>
  </si>
  <si>
    <t>177658
177675</t>
  </si>
  <si>
    <t xml:space="preserve">réparation du pare choc arriere a  cause d'un accident </t>
  </si>
  <si>
    <t>changemnt du jeu de plaquette de fein avant</t>
  </si>
  <si>
    <t>177685
177316</t>
  </si>
  <si>
    <t>kit d'embrayage</t>
  </si>
  <si>
    <t xml:space="preserve">changement du kit d'embrayage complet
 et changement des joint de collecteur d'echappement 
</t>
  </si>
  <si>
    <t>177681
177690
177694</t>
  </si>
  <si>
    <t>melange eau gasoil</t>
  </si>
  <si>
    <t>177084
177689
177311</t>
  </si>
  <si>
    <t xml:space="preserve">sortie hors sté pour depanage du camion et changé leur support cardon </t>
  </si>
  <si>
    <t>vidange d'huile moteur 
lavage et graissag generale d'engin 
263000km</t>
  </si>
  <si>
    <t>vidange d'huile moteur 15W40
réparation du fuite d'air 
lavage et graissage d'engin 
773522km</t>
  </si>
  <si>
    <t>vidange d'huile moteur 
lavage et graissag generale d'engin 
125000km</t>
  </si>
  <si>
    <t xml:space="preserve">réparation du probleme de melange eu et gasoil 
changement du chambre des injecteur et des siege souipape et guide soupape 
changemnt des soupape d'admission et d'echappement 
changement du durite de liquide de refroidissement 
20825 h
</t>
  </si>
  <si>
    <t xml:space="preserve">vidange d'huile moteur 15W40
lavage et graissage generale d'engin 
362352 km 
réparation d'eclairage </t>
  </si>
  <si>
    <t>vidange d'huile moteur 15W40
lavage et graissage generale d'engin 
344540 km</t>
  </si>
  <si>
    <t>vidange d'huile moteur 15W40
lavage et graissage generale d'engin 
changement du filtre a air 
26600 h</t>
  </si>
  <si>
    <t>dépose du boite de vitesse pour changé leur pompea huile et changement du distributeur de marche avant erriere  et joint du distributeur  
vidange d'huile moteur etchangement du filtre a huile 
1851 h</t>
  </si>
  <si>
    <t>peinture du plateau et soudage des fissures et du caisse d'outillage et 
changement du moteur thermique achat bon occasion 
changement du cabine acheté bon occasion
réparation duprobleme d'injecton gasoil  
787700 km</t>
  </si>
  <si>
    <t>réparation du probleme de temperatre de moteur thermique et changement des chemise avec joint 
débouchage du radiateur 
cangemnt du thermostat de refroidissement 
changement des souppe et siege soupape et guide soupape 
contrôle du culasse 
vidange d'huile moteur et changement du filtre a huil et filtre a gasoil 
changemnt u jeu de balai d'esuie glace 
472000 km</t>
  </si>
  <si>
    <t xml:space="preserve">changement du deux battrie de démarrage 12V M8 VARTA
changement du jeu de balai d'esuie glace </t>
  </si>
  <si>
    <t>177678
175064</t>
  </si>
  <si>
    <t>vidange d'huile moteur 
lavage et graissag generale d'engin 
changement d jeu de balai d'essuie glace
762300km</t>
  </si>
  <si>
    <t>177054
177058
177060
177061
177077
177079
178330</t>
  </si>
  <si>
    <t>177655
178333</t>
  </si>
  <si>
    <t>changement du pont avant edomagé ( achat du laferaille ) achat et montage extr</t>
  </si>
  <si>
    <t>178314
178315</t>
  </si>
  <si>
    <t xml:space="preserve">jeu du garniture </t>
  </si>
  <si>
    <t xml:space="preserve">changment du jeu de garniture de frein arriére et jeu de plaquette de frein avant </t>
  </si>
  <si>
    <t>vidange d'huile teur et changement du jeudes filtres 
filtre a huile ref 1109ay
filtre a gasoil ref 980971080
filtre a air ref 1444tv
225000 km</t>
  </si>
  <si>
    <t>vidanged'huile moteur 15w40
 cangement du filtre a huile ref ME034611
filtre a gasoil ME 016841
687800 KM</t>
  </si>
  <si>
    <t xml:space="preserve">godet de balayage </t>
  </si>
  <si>
    <t xml:space="preserve">confection  et soudage du godet de balayeuse </t>
  </si>
  <si>
    <t>changement du deux pneu ref 315/80R22,5
HHB13593A HHB13049A</t>
  </si>
  <si>
    <t>PNEU</t>
  </si>
  <si>
    <t>changemebt du deux pneu ref 11R22,5
jante ref 11R22,5
E2S870412
E2S870227</t>
  </si>
  <si>
    <t>changement du deux battrie de démarrage 12V l 5 
réparation declairage</t>
  </si>
  <si>
    <t>changement du deux pneu ref 3158/80R22,5</t>
  </si>
  <si>
    <t xml:space="preserve">venteuse du cabine </t>
  </si>
  <si>
    <t xml:space="preserve">changement du venteuse de cabine coté av g 
et ressort de cabine avg et vanne de purge flacon d'air </t>
  </si>
  <si>
    <t>178318
178323</t>
  </si>
  <si>
    <t xml:space="preserve">poriiture du cabine </t>
  </si>
  <si>
    <t xml:space="preserve">changement du cabine et moteur tharmique achat du laferail et mointage hors sté 
réparation u probleme d'injection gasoil 
après l'achat du moteur </t>
  </si>
  <si>
    <t>ususre du moteur hydraulique</t>
  </si>
  <si>
    <t xml:space="preserve">changement du pont avant complet
achat du pont avant du laferaile et montage du vendeur </t>
  </si>
  <si>
    <t xml:space="preserve">porte arriere </t>
  </si>
  <si>
    <t xml:space="preserve">réparation du serrure de porte arriére </t>
  </si>
  <si>
    <t xml:space="preserve">leve glace </t>
  </si>
  <si>
    <t>réparation du mécanisme de leve glace  (réparation a coreaa )</t>
  </si>
  <si>
    <t>vidange d'huile moteur 15W40
réparation du fuite d'huiole hydraulique 
graissag generale d'engin et souflage du fultre a air 
271000 km</t>
  </si>
  <si>
    <t>changement du kit d'embrayage complet 
disque et butéé et plateau de serrage
vidange d'huile moteur et changement du filtre a huile et filtre a gasoil 
174500 km</t>
  </si>
  <si>
    <t>changement du support cardon hors sté</t>
  </si>
  <si>
    <t xml:space="preserve">flexible d'air </t>
  </si>
  <si>
    <t>changement du flexible d'air comprimé</t>
  </si>
  <si>
    <t xml:space="preserve">balai d'essuie glace </t>
  </si>
  <si>
    <t>changement du jeu des balai d'esuie glace 
changement du klaxon 24 v</t>
  </si>
  <si>
    <t xml:space="preserve">changeent du jeu du plaquette de frein avant 
et jeu de garniture de frein arréire </t>
  </si>
  <si>
    <t>durite d'eau</t>
  </si>
  <si>
    <t xml:space="preserve">réparation du fuite d'air et changement du durite d'eau </t>
  </si>
  <si>
    <t>changement du deux pneu ref 205/70R17,5
128020 km</t>
  </si>
  <si>
    <t>changemlent du deux pneu ref 11R22,5
765760 km</t>
  </si>
  <si>
    <t>vidange d'huile moteur et changement du filtre a huile et filttre a gasoil 
et prefiltre a gasoil 513600 km</t>
  </si>
  <si>
    <t>vidange d'huile moteur et changement du filtre a huile et filtre a gasoil 3150h</t>
  </si>
  <si>
    <t xml:space="preserve">limitation de vitesse </t>
  </si>
  <si>
    <t xml:space="preserve">réparation d'eclairage et changement du plaque de limiotation vitesse 
</t>
  </si>
  <si>
    <t xml:space="preserve">réparation d'eclairage et changement du feu rouge arriere  cabouchon </t>
  </si>
  <si>
    <t xml:space="preserve">changemet du relai contact de démarreur </t>
  </si>
  <si>
    <t xml:space="preserve">fuite d'eahuile </t>
  </si>
  <si>
    <t>flexyble percé</t>
  </si>
  <si>
    <t>changement du flexible d'huile hydraulique</t>
  </si>
  <si>
    <t xml:space="preserve">brosse du balayage </t>
  </si>
  <si>
    <t xml:space="preserve">usure du godet </t>
  </si>
  <si>
    <t xml:space="preserve">renouvation du godet du brosse de balayage 
changement du tole du godet et elimination des fuites </t>
  </si>
  <si>
    <t>179647
181192
181168</t>
  </si>
  <si>
    <t>changement du battrie de démarrage 12V l5</t>
  </si>
  <si>
    <t>porte du cabine</t>
  </si>
  <si>
    <t xml:space="preserve">peinture du deux porte du cabine </t>
  </si>
  <si>
    <t xml:space="preserve">réparation des element du suspontion et changement des amortisseur et des tringle de suspention ,des bielle de suspention 
des silent bloc 
rotule de triangle 
deux roulement de roue avant droit et gauche 
changement du deux pneu tublesse 205/65r15
</t>
  </si>
  <si>
    <t>180670
180655
180683
180940</t>
  </si>
  <si>
    <t>changement du filtre a air 21337557</t>
  </si>
  <si>
    <t>Vidange d'huile moteur et changement du fioltre a huile ref tf63
filtre a gasoil 17937
filtre a air r418 et r178
lavage et graissage genarale d'engin 
4977 h</t>
  </si>
  <si>
    <t>Vidange d'huile moteur et changement du fioltre a huile ref tf63
filtre a gasoil 17937
filtre a air r418
lavage et graissage genarale d'engin 
4750 h</t>
  </si>
  <si>
    <t xml:space="preserve">levage des fourche </t>
  </si>
  <si>
    <t>changement dix galet de rampe et jeu des bagues de démarreur 
jeu des charbon 
bendix de démarreur 
des rotule du chariot de levage 45 mmm</t>
  </si>
  <si>
    <t xml:space="preserve">chanegement des lampes et des fusible a lame 
changeement d'optique avandroit et deux feu de signale avant droit et avant gauche </t>
  </si>
  <si>
    <t>180684
180931</t>
  </si>
  <si>
    <t xml:space="preserve">démarreur 
</t>
  </si>
  <si>
    <t xml:space="preserve">changementdes bagues de démarreur 
jeu des charbon 
bendix de démarreur 
changement du battrie de démarrage 12Vf5
klaxon 12V
flexible double de verin laterale </t>
  </si>
  <si>
    <t>180685
180903
180918</t>
  </si>
  <si>
    <t>plaquette de fein</t>
  </si>
  <si>
    <t>changement du deux jeu de plaquette de frein pour tracteur 
et vdeux disque de frein pour essieu arriere tracteur 
changement du quatre pneu ref 315/80R22,5
serie HHY0217E
HHY02080E
HHY02038E
HHY02177E</t>
  </si>
  <si>
    <t>180904
180930
180945</t>
  </si>
  <si>
    <t xml:space="preserve">démarage </t>
  </si>
  <si>
    <t>changement du battrie de démarage 12V70A L3</t>
  </si>
  <si>
    <t>vidange d'huile moteur 15W40
changement du 
filtre a huile ref 2170713132
et filtre a gasoil  p21988765
frefiltre a gasoil p22988765
362719 km</t>
  </si>
  <si>
    <t>180901
180910</t>
  </si>
  <si>
    <t xml:space="preserve">feu du stop </t>
  </si>
  <si>
    <t>manocontct</t>
  </si>
  <si>
    <t>Changement du manocontact du feu de stop 
vidange d'ehuile moteur et changement du 
filtre a huile ref me034611 
filtre  gasoil ref me016841
filtre a air ref me073160
604700 km</t>
  </si>
  <si>
    <t>180939
180908</t>
  </si>
  <si>
    <t>MI50D</t>
  </si>
  <si>
    <t>vidange d'huile moteur et changement du filtre a huile ref 263304a001
filtre a gasoil 319224h950
filtre a air 281134f000
84300 km</t>
  </si>
  <si>
    <t>changement du deux battrie de démarrage  12v l5</t>
  </si>
  <si>
    <t xml:space="preserve">changement du courroie d'alternateur de charge battrie et tondeur du courroie a cause d'emdomagement du moto clim 
changement du moto clim et remmplissage du gaz de clim 
</t>
  </si>
  <si>
    <t>180605
1800946</t>
  </si>
  <si>
    <t>changement dubquatre pneu ref 124R22,5 xz
serie 
SDB06502D
SDB05421D
SDB06543D
SDB06520D
791000 KM</t>
  </si>
  <si>
    <t xml:space="preserve">PONT AVANT </t>
  </si>
  <si>
    <t>des roulements</t>
  </si>
  <si>
    <t xml:space="preserve">changement du deux roulement de pignon d'attacke et arrét d'huiile </t>
  </si>
  <si>
    <t>181622
181606</t>
  </si>
  <si>
    <t>vidange d'huile moteur et changemen
du filtre a huile ref 
filtre a gasoil ref 81125030086
filtre a air ref 81084050021
graissage genrale d'engin 
793500 km</t>
  </si>
  <si>
    <t>changement du courroie de refroiodissement moteur 13*1400</t>
  </si>
  <si>
    <t>vidange d'huile moteur et changeent du filtre a huile ref elh4332
filtre a gasoil ref c446
filtre a air a1097
264800 km</t>
  </si>
  <si>
    <t>Changement du manocontact du feu de stop 
vidange d'ehuile moteur et changement du 
filtre a huile ref me034611 
filtre  gasoil ref me016841
filtre a air ref me073160
 713600km</t>
  </si>
  <si>
    <t xml:space="preserve">coupleur du ventilateur </t>
  </si>
  <si>
    <t xml:space="preserve">rééparation du probleme de refroidissement moteur et changement du coupleur de ventilateur et tondeur du courroie </t>
  </si>
  <si>
    <t xml:space="preserve">distribution moteur </t>
  </si>
  <si>
    <t xml:space="preserve">usure des couroies </t>
  </si>
  <si>
    <t>changement du jeu de courroie d'aaccessoires et jeu du courroie de distribution moteur avec todeur 
vidange d'huile moteur et changeent du filtre a huile ref 1109ay 
filtre a gasoil ref 98072160
filtre a air ref 1444tv
240100 km</t>
  </si>
  <si>
    <t xml:space="preserve">démarrage du moteur </t>
  </si>
  <si>
    <t xml:space="preserve">circuit du gasoil </t>
  </si>
  <si>
    <t xml:space="preserve">réparation du probleme d'injection gasoil 
netoyage du reservoir de gasoil 
changement du filtre a gasoil et prefiltre gasoil 
changement du support du prefiltre a gasoil 
</t>
  </si>
  <si>
    <t>181851
181853
181888</t>
  </si>
  <si>
    <t xml:space="preserve">des rotule </t>
  </si>
  <si>
    <t xml:space="preserve">réparation d'essieu arriere et changement des rotule de direction et des kit réparation axe pivot et axe fusee 
chagement du joint culasse et réctification du culasse 
changement du vase d'expansion </t>
  </si>
  <si>
    <t xml:space="preserve">changement du deux jeu de plaquette de frein pour tracteur 
changement du deux jeu de garniture de frein pour plateau graissage des moyeu de roue arriere 
graissage generale d'engin </t>
  </si>
  <si>
    <t>181876
181872
181871
181864</t>
  </si>
  <si>
    <t xml:space="preserve">chngemnt du cointact de démarage </t>
  </si>
  <si>
    <t>changement du deux jeu de garniture de frein 
alesage des tambour de frein 
jeu de machoir de frein 
kit de cylindre de frein arriere 
vidange d'huile moteur et changement  du filtre a huile2631145010
 et filtre a gasoil ref 3194544002
134700 km</t>
  </si>
  <si>
    <t>182151
182153
182156
181883
181881</t>
  </si>
  <si>
    <t>changement du battrie de démarrage 12Vf5</t>
  </si>
  <si>
    <t>arrét du moteur</t>
  </si>
  <si>
    <t>pompe a gasoil</t>
  </si>
  <si>
    <t>réparation du pompe a gasoil a sté casadiesel 
changement du filtre a gasoil et changement
du pompe d'ebrayage superieur</t>
  </si>
  <si>
    <t>181167
181184
181152</t>
  </si>
  <si>
    <t>roue arriere</t>
  </si>
  <si>
    <t xml:space="preserve">changement du jeu ddes goujon de roue arriere droit </t>
  </si>
  <si>
    <t xml:space="preserve">réparation du pompe de grue de levage a sté wafa benne 
réparation du radiateur </t>
  </si>
  <si>
    <t>182193
182173</t>
  </si>
  <si>
    <t>sortie hors sté pour réparation du probleme de refroidissement du moteurt  et 
changement du courroie d'alternateurde charge
et pompe a eau</t>
  </si>
  <si>
    <t>changement du deux pneu usee arriere ref 23*9/10</t>
  </si>
  <si>
    <t>changement du pompe a eau 
et changement du pochette roudage joitn culasse et réparation d'essieu arriere</t>
  </si>
  <si>
    <t>182182
182194</t>
  </si>
  <si>
    <t xml:space="preserve">gasoil </t>
  </si>
  <si>
    <t xml:space="preserve">changement du deux filtre a gasoil et netoyage du circuit de gasoil et netoyage generale du circuit avec reservoire de gasoil 
</t>
  </si>
  <si>
    <t>181361
182197</t>
  </si>
  <si>
    <t>des roulement</t>
  </si>
  <si>
    <t>changement du quatre roulement pour plateau et graissage generale des moyeu de roue</t>
  </si>
  <si>
    <t>plexyglace</t>
  </si>
  <si>
    <t>montage du vitre de plexyglace avant et arriere</t>
  </si>
  <si>
    <t>182357
182180</t>
  </si>
  <si>
    <t xml:space="preserve">disque de frein </t>
  </si>
  <si>
    <t xml:space="preserve">changement du deux disque de frein avant et deu jeu de garniture  de frein avant </t>
  </si>
  <si>
    <t>182376
182378</t>
  </si>
  <si>
    <t>²en cour</t>
  </si>
  <si>
    <t xml:space="preserve">changement du jeu de plaquette de frein avant </t>
  </si>
  <si>
    <t xml:space="preserve">union rapide </t>
  </si>
  <si>
    <t>bv endommagé</t>
  </si>
  <si>
    <t>changement du boite a vitesse (achat bon occasion)</t>
  </si>
  <si>
    <t>182364
182395</t>
  </si>
  <si>
    <t>support volant</t>
  </si>
  <si>
    <t>changement du soupport voalant de direction</t>
  </si>
  <si>
    <t>changement du deux pneu ref 12R22,5 XZ
serie 
TDB03557D
TDB30384D
734100 KM</t>
  </si>
  <si>
    <t xml:space="preserve">camion panne a anassi 
réparation du probleme d'injection gasoil </t>
  </si>
  <si>
    <t>changement du quatre pneu ref 315/80R22,5 x multi 
serie 
GHY01950
HHY00875E
HHY00709E
HHY033499E
54500 KM</t>
  </si>
  <si>
    <t xml:space="preserve">réparation d'eclairage et changeùent des lampes </t>
  </si>
  <si>
    <t xml:space="preserve">esuie glace </t>
  </si>
  <si>
    <t xml:space="preserve">changement du jeu du balai d'suie glace 
montage dutuyau de souflage et netoyage </t>
  </si>
  <si>
    <t xml:space="preserve">des garniture de frein </t>
  </si>
  <si>
    <t xml:space="preserve">changement du jeu de garniture de frein 
changement des ikit réparation master de frein 
des arrét de graisse 
pompe de direction 
goujone de roue arriere 
boitier de direction </t>
  </si>
  <si>
    <t xml:space="preserve">11R22,5 </t>
  </si>
  <si>
    <t>NGG125455</t>
  </si>
  <si>
    <t>10R22,5</t>
  </si>
  <si>
    <t>HHJ1211</t>
  </si>
  <si>
    <t>HHJ25333</t>
  </si>
  <si>
    <t>TGG41154</t>
  </si>
  <si>
    <t>TGG41558</t>
  </si>
  <si>
    <t>E2S870412</t>
  </si>
  <si>
    <t>E2S870227</t>
  </si>
  <si>
    <t>11r22,5</t>
  </si>
  <si>
    <t>NHB20859A</t>
  </si>
  <si>
    <t>pll12555</t>
  </si>
  <si>
    <t>pll21556</t>
  </si>
  <si>
    <t>GHY01950</t>
  </si>
  <si>
    <t>HHY00875E</t>
  </si>
  <si>
    <t>HHY00709E</t>
  </si>
  <si>
    <t>315/80r22,5</t>
  </si>
  <si>
    <t>ppj52258</t>
  </si>
  <si>
    <t>PPJ52288</t>
  </si>
  <si>
    <t>KML522225</t>
  </si>
  <si>
    <t>MLL52526</t>
  </si>
  <si>
    <t>MLL52336</t>
  </si>
  <si>
    <t>HUN5542</t>
  </si>
  <si>
    <t>HUN24455</t>
  </si>
  <si>
    <t>HUN58866</t>
  </si>
  <si>
    <t>MML522447</t>
  </si>
  <si>
    <t>MML53366</t>
  </si>
  <si>
    <t>MLL54478</t>
  </si>
  <si>
    <t>MLL58999</t>
  </si>
  <si>
    <t>LKK54255</t>
  </si>
  <si>
    <t>LKK54555</t>
  </si>
  <si>
    <t>probleme de démarage</t>
  </si>
  <si>
    <t>Achat convertisseur en cours</t>
  </si>
  <si>
    <t>Formulaire</t>
  </si>
  <si>
    <t>Code: INS-FL-MAT-08</t>
  </si>
  <si>
    <t>Version: 00</t>
  </si>
  <si>
    <t>Date : 20/06/2022</t>
  </si>
  <si>
    <t>Page : 1/1</t>
  </si>
  <si>
    <t>Suivi Pneumatiques</t>
  </si>
  <si>
    <t>Code: INS-FL-MAT-05</t>
  </si>
  <si>
    <t>Version : 00</t>
  </si>
  <si>
    <t>LK5774</t>
  </si>
  <si>
    <t>LK55412</t>
  </si>
  <si>
    <t>ML5447K</t>
  </si>
  <si>
    <t>MPL55428</t>
  </si>
  <si>
    <t>MPL55477</t>
  </si>
  <si>
    <t>MPL5669</t>
  </si>
  <si>
    <t>315/80R22,6</t>
  </si>
  <si>
    <t>LLMP5447</t>
  </si>
  <si>
    <t>12R22,5</t>
  </si>
  <si>
    <t>MLP5535</t>
  </si>
  <si>
    <t>MLLP2555</t>
  </si>
  <si>
    <t>JLM2251</t>
  </si>
  <si>
    <t>PLO66587</t>
  </si>
  <si>
    <t>PL55M4</t>
  </si>
  <si>
    <t>PLI55478</t>
  </si>
  <si>
    <t>PLO66988</t>
  </si>
  <si>
    <t>HDAA4457</t>
  </si>
  <si>
    <t>LLMP5448</t>
  </si>
  <si>
    <t>XCC21541</t>
  </si>
  <si>
    <t>XCC21544</t>
  </si>
  <si>
    <t>RHB5524</t>
  </si>
  <si>
    <t>RHB6988</t>
  </si>
  <si>
    <t>RHB455</t>
  </si>
  <si>
    <t>RHZ51114</t>
  </si>
  <si>
    <t>RHZ121</t>
  </si>
  <si>
    <t>RHZ40000</t>
  </si>
  <si>
    <t>RHZ12874</t>
  </si>
  <si>
    <t>KLM2214</t>
  </si>
  <si>
    <t>KLM2554</t>
  </si>
  <si>
    <t>KLM5699</t>
  </si>
  <si>
    <t>KLM8997</t>
  </si>
  <si>
    <t>MDA4778</t>
  </si>
  <si>
    <t>LMM6554</t>
  </si>
  <si>
    <t>LMM2554</t>
  </si>
  <si>
    <t>LMM54445</t>
  </si>
  <si>
    <t>LMM5477</t>
  </si>
  <si>
    <t>Code: INS-FL-MAT-06</t>
  </si>
  <si>
    <t>Suivi vidange véhicule</t>
  </si>
  <si>
    <t>Code Véhicule</t>
  </si>
  <si>
    <t>Filtre à air</t>
  </si>
  <si>
    <t>Filtre à huile</t>
  </si>
  <si>
    <t>Filtre à gasoil</t>
  </si>
  <si>
    <t>NBH vidange</t>
  </si>
  <si>
    <t>NBH Filtre   huile - gasoil</t>
  </si>
  <si>
    <t>NBH filtre à air</t>
  </si>
  <si>
    <t>Date dérnier entretien</t>
  </si>
  <si>
    <t>Dérnière vidange</t>
  </si>
  <si>
    <t>Dernier chgt Filte huile gasoil</t>
  </si>
  <si>
    <t>Dernier chgt filtre à air</t>
  </si>
  <si>
    <t>Travaux effectués lors du dernier entretien</t>
  </si>
  <si>
    <t>Compteur Actuel</t>
  </si>
  <si>
    <t>Prochain entretien prévu</t>
  </si>
  <si>
    <t>NBH avant vidange</t>
  </si>
  <si>
    <t>NBH avant filtre huile - gasoil</t>
  </si>
  <si>
    <t>NBH avant Filtre à air</t>
  </si>
  <si>
    <t>Fourgon-Voiture</t>
  </si>
  <si>
    <t>Citroen Berlingo</t>
  </si>
  <si>
    <t xml:space="preserve">ISUZU </t>
  </si>
  <si>
    <t>LAF9000</t>
  </si>
  <si>
    <t>1-87610064/0140524</t>
  </si>
  <si>
    <t>8-9439917-0 / 140096</t>
  </si>
  <si>
    <t xml:space="preserve">MAN </t>
  </si>
  <si>
    <t>51055017160/140027</t>
  </si>
  <si>
    <t>51,12503,0040/140028</t>
  </si>
  <si>
    <t>Camion Semi remorque</t>
  </si>
  <si>
    <t>HF251 /140</t>
  </si>
  <si>
    <t>LFP3191/140063</t>
  </si>
  <si>
    <t>FP585P/140049</t>
  </si>
  <si>
    <t>engin déclacé</t>
  </si>
  <si>
    <t>22128-W-6</t>
  </si>
  <si>
    <t>9-88511191/140042</t>
  </si>
  <si>
    <t>70352-A-2</t>
  </si>
  <si>
    <t>81,08405-0021
81,084405-0017</t>
  </si>
  <si>
    <t>51,05504-0098/140061</t>
  </si>
  <si>
    <t>51-12503-0042/140024
81,12503-0086/140026</t>
  </si>
  <si>
    <t>MITSUBISHI</t>
  </si>
  <si>
    <t>ME073160/140298</t>
  </si>
  <si>
    <t>ME034611 / 140297</t>
  </si>
  <si>
    <t>ME036478 / 140298</t>
  </si>
  <si>
    <t>4969-A-73</t>
  </si>
  <si>
    <t>28659-D-1</t>
  </si>
  <si>
    <t>51,0550401,08/7 / 140964</t>
  </si>
  <si>
    <t>51,1250300 61 / 140965  
81,1260,0086 / 140026</t>
  </si>
  <si>
    <t>RENAULT</t>
  </si>
  <si>
    <t>5001865723 / 140716</t>
  </si>
  <si>
    <t>7420998809  / 140717</t>
  </si>
  <si>
    <t>4209988806 / 140718
742138403 / 140719</t>
  </si>
  <si>
    <t xml:space="preserve">Chargeur </t>
  </si>
  <si>
    <t>SANS</t>
  </si>
  <si>
    <t>G12501 / 140783</t>
  </si>
  <si>
    <t>1R0807 / 140125</t>
  </si>
  <si>
    <t>1R0751 / 140127
1R0753 / 140523
151-2409 / 140722</t>
  </si>
  <si>
    <t>BOBCAT S 130</t>
  </si>
  <si>
    <t>6598492 /140090</t>
  </si>
  <si>
    <t>6675517 /140299</t>
  </si>
  <si>
    <t>6667352 / 140110
hydraulique6661248</t>
  </si>
  <si>
    <t>A1097 / 140124</t>
  </si>
  <si>
    <t>ELH4332 / 140123</t>
  </si>
  <si>
    <t xml:space="preserve"> C446 / 140072</t>
  </si>
  <si>
    <t>Voiture 4812_A_73</t>
  </si>
  <si>
    <t>8200459849 /140526</t>
  </si>
  <si>
    <t>7700274177/140525</t>
  </si>
  <si>
    <t xml:space="preserve">Chariot élèvateur </t>
  </si>
  <si>
    <t>FENWICK LINDE 25</t>
  </si>
  <si>
    <t>9509 / 140136</t>
  </si>
  <si>
    <t>1174417 / 141287</t>
  </si>
  <si>
    <t>FP585 / 140049</t>
  </si>
  <si>
    <t>RM945/TCM  -  FD40/50</t>
  </si>
  <si>
    <t>2654403 / 140345</t>
  </si>
  <si>
    <t>26561117 / 140 113</t>
  </si>
  <si>
    <t>LINDE H30</t>
  </si>
  <si>
    <t>343801 / 140019</t>
  </si>
  <si>
    <t>ME35393 / 140020  hydrauliqueWp724</t>
  </si>
  <si>
    <t>fenwick HD35</t>
  </si>
  <si>
    <t>01174417  / 141287</t>
  </si>
  <si>
    <t>26561117 / 140113</t>
  </si>
  <si>
    <t>FENWICK  H40</t>
  </si>
  <si>
    <t>LAF 3947 / 140087</t>
  </si>
  <si>
    <t>26561117 / 140346</t>
  </si>
  <si>
    <t xml:space="preserve">MANITOU M26-2 </t>
  </si>
  <si>
    <t>RM954 / 140133</t>
  </si>
  <si>
    <t>9660-A-73</t>
  </si>
  <si>
    <t>1444TV / 140</t>
  </si>
  <si>
    <t>1109AY / 140</t>
  </si>
  <si>
    <t>1906E6  / 140</t>
  </si>
  <si>
    <t>LINDE H30D</t>
  </si>
  <si>
    <t>01174416 / 140286</t>
  </si>
  <si>
    <t>01174656 / 140827</t>
  </si>
  <si>
    <t>11469-A-73</t>
  </si>
  <si>
    <t xml:space="preserve">ME016841 / 140 </t>
  </si>
  <si>
    <t>17885-A-73</t>
  </si>
  <si>
    <t>17886-A-73</t>
  </si>
  <si>
    <t>Transport personnelle</t>
  </si>
  <si>
    <t xml:space="preserve">HYUNDAI </t>
  </si>
  <si>
    <t>18516A73</t>
  </si>
  <si>
    <t xml:space="preserve">PICK UP </t>
  </si>
  <si>
    <t>HYUNDAI H 100</t>
  </si>
  <si>
    <t>engin déclassé</t>
  </si>
  <si>
    <t>Vidange Sans filtres</t>
  </si>
  <si>
    <t>Vidange filtres + filtre à air</t>
  </si>
  <si>
    <t>Echeance Vidange</t>
  </si>
  <si>
    <t>Vidange + chgt filtre gasoil filtre à huile et filtre à air
2650h</t>
  </si>
  <si>
    <t>réparation et mise a nouveau du moteur thermique et changement du plaque avant (aferaile du sté  avec vilebrequin ) 
changement du jeu de segment et coussinet de bielle été vilebrequin 
changement du pompe a huile moteur 
des chemise de group moteur 
vidange d'huile moteue et changement dufiltre a huile et gasoil 
35421 H</t>
  </si>
  <si>
    <t>réparation du fuite de gasoil et changement tuyau de gasoil 
vidange d'huile oteur 
reinssage du liquide de refroidissement  et  mise au point d'antigel 
réparation d'eclairage 
28003 h</t>
  </si>
  <si>
    <t xml:space="preserve">des ressort a lame </t>
  </si>
  <si>
    <t xml:space="preserve">réparation des elemnent de suspontion chez trans rajboun 
essieu avant tracteur </t>
  </si>
  <si>
    <t xml:space="preserve">ventilateur de reefroidissement </t>
  </si>
  <si>
    <t>changement du ventulateur de refroidissement et coupleur de ventilateur</t>
  </si>
  <si>
    <t xml:space="preserve">réparation d'eclairage et hangement des lapes </t>
  </si>
  <si>
    <t xml:space="preserve">Fuite d'air </t>
  </si>
  <si>
    <t xml:space="preserve">fissure au niveau
des jantes </t>
  </si>
  <si>
    <t xml:space="preserve">changement du deux jantes ref 11R22,5 
changement du pompe d'amossage 
changement du jeu de balai d'essuie 
coupleur de ventilateur </t>
  </si>
  <si>
    <t>distributeur hydr</t>
  </si>
  <si>
    <t xml:space="preserve">réparation du fuite d'eau et changement des pastille du groupe 
réparation du fuite d'huile hydrauliquee </t>
  </si>
  <si>
    <t xml:space="preserve">essieu arriére </t>
  </si>
  <si>
    <t xml:space="preserve">des axes </t>
  </si>
  <si>
    <t>réparation des jeux au niveau d'essieu arrier 
(réparatuion d'essieu par ARI )</t>
  </si>
  <si>
    <t xml:space="preserve">corrosion du carosserie </t>
  </si>
  <si>
    <t xml:space="preserve">peinture generale du carosserie 
reparation et dressage 
des pieces endommage a cause d'une accident 
</t>
  </si>
  <si>
    <t xml:space="preserve">plaquettes de frein </t>
  </si>
  <si>
    <t xml:space="preserve">changement du deux jeu de fiche usure plaquette de frein </t>
  </si>
  <si>
    <t xml:space="preserve">dierection </t>
  </si>
  <si>
    <t>barre de direction</t>
  </si>
  <si>
    <t>changement du barre de direction court</t>
  </si>
  <si>
    <t xml:space="preserve">réparatio d'alternateur de charge battrie </t>
  </si>
  <si>
    <t xml:space="preserve">fuite  d'hule </t>
  </si>
  <si>
    <t xml:space="preserve">pompe de frein </t>
  </si>
  <si>
    <t>changement du pompede frein pour voiture dacia khalil</t>
  </si>
  <si>
    <t>refroidissement du moteur</t>
  </si>
  <si>
    <t xml:space="preserve">coupleur de ventilateur </t>
  </si>
  <si>
    <t xml:space="preserve">changeùment du coupleur de ventilateur de refroidissemnt </t>
  </si>
  <si>
    <t xml:space="preserve">changement du courroie de charge battrie </t>
  </si>
  <si>
    <t xml:space="preserve">peinture et dressage </t>
  </si>
  <si>
    <t>voiture accidenté</t>
  </si>
  <si>
    <t xml:space="preserve">reparation des probleme de peinture et dressage du tole endommage a cause d'un accident </t>
  </si>
  <si>
    <t xml:space="preserve">pompe d'injection </t>
  </si>
  <si>
    <t xml:space="preserve">taraged et réparation des injecteur 
réparation du pompe dinjection gasoil </t>
  </si>
  <si>
    <t xml:space="preserve">pompe a eau </t>
  </si>
  <si>
    <t xml:space="preserve">electronique </t>
  </si>
  <si>
    <t xml:space="preserve">diagnostique </t>
  </si>
  <si>
    <t xml:space="preserve">diagnostique et réparation du probleme d'air comprimé </t>
  </si>
  <si>
    <t xml:space="preserve">moteur thermique </t>
  </si>
  <si>
    <t xml:space="preserve">probleme de rendement </t>
  </si>
  <si>
    <t>contrôle de source de probleme mauvais rendement oteur 
et changement du kit d'embayage complet</t>
  </si>
  <si>
    <t xml:space="preserve">vidange d'huile moteur et cangement des filtre a gasoil 
lavage et graissage geneale d'engin </t>
  </si>
  <si>
    <t xml:space="preserve">linde siege </t>
  </si>
  <si>
    <t xml:space="preserve">probleme d'echauffement du moteur </t>
  </si>
  <si>
    <t xml:space="preserve">mise a nouveur du chariot t ellimination des fuites hydraulique 
changement du moteur thermique achat du laferaille </t>
  </si>
  <si>
    <t xml:space="preserve">bruit anormale </t>
  </si>
  <si>
    <t xml:space="preserve">changement du roullement du roue arriere droit </t>
  </si>
  <si>
    <t>vp</t>
  </si>
  <si>
    <t xml:space="preserve">vidange d'huile moteur 15w40 </t>
  </si>
  <si>
    <t xml:space="preserve">moyeur de roue </t>
  </si>
  <si>
    <t xml:space="preserve">changement du kit réparation moyeu de roue arrier </t>
  </si>
  <si>
    <t>réparation du probleme de démarrae moteur et changeent du relai démarreur</t>
  </si>
  <si>
    <t>linde sinastone</t>
  </si>
  <si>
    <t xml:space="preserve">des joints </t>
  </si>
  <si>
    <t xml:space="preserve">réparation du probleme de démarrage et changement des joint torique </t>
  </si>
  <si>
    <t xml:space="preserve">bus de trans siege </t>
  </si>
  <si>
    <t xml:space="preserve">changement du deux jeu de garniture de frein 
changement des master de frein avant et raglage du jeu de frein avant et arriere </t>
  </si>
  <si>
    <t xml:space="preserve">tuyau </t>
  </si>
  <si>
    <t xml:space="preserve">sortie hors ste pour réparation du fuite d'air comprimé </t>
  </si>
  <si>
    <t>echaffement du moteur</t>
  </si>
  <si>
    <t xml:space="preserve">changement du pochette roudage 
changemùent dupalier du croisillon 
et croisillon du cardon </t>
  </si>
  <si>
    <t>venteuse de frein</t>
  </si>
  <si>
    <t xml:space="preserve">changement du deux venteuse de frein pour plateau </t>
  </si>
  <si>
    <t xml:space="preserve">des bagues </t>
  </si>
  <si>
    <t>changement d'essieu arriere complet achat du laferaille</t>
  </si>
  <si>
    <t xml:space="preserve">liquide de refroidissemnt </t>
  </si>
  <si>
    <t xml:space="preserve">reinssage de liquide de refroidsissemnt </t>
  </si>
  <si>
    <t xml:space="preserve">vidange d'huiile moteur et changement des filtre a hiuuile gasoil et prefiltre a gasoil </t>
  </si>
  <si>
    <t xml:space="preserve">reservoire du gasoil </t>
  </si>
  <si>
    <t>fixation du reservoire</t>
  </si>
  <si>
    <t xml:space="preserve">réparation du fixation du reservoire gasoil </t>
  </si>
  <si>
    <t xml:space="preserve">vidange d'huile moteur 
lavage et graissage generale d'engin </t>
  </si>
  <si>
    <t xml:space="preserve">refrigerant du moteur </t>
  </si>
  <si>
    <t xml:space="preserve">changement du refrigerant d'huile moteur et reparation du probleme de refroidissemnt 
reinssage  du circuit d'eau </t>
  </si>
  <si>
    <t xml:space="preserve">vidange d'huile du boite de vitesse    </t>
  </si>
  <si>
    <t xml:space="preserve">ventilateur ede refroidissement </t>
  </si>
  <si>
    <t>changement du ventilateur de refroidissement 
réparation du fixation courroie</t>
  </si>
  <si>
    <t>changement d'essieu arriere complet achat du laferaille 
changement du deux pneu arriere 
probleme au niveua du comande electronique 
intervention sous reserve du sté SRM</t>
  </si>
  <si>
    <t xml:space="preserve">freinage et embrayage </t>
  </si>
  <si>
    <t xml:space="preserve">garniturere de frein </t>
  </si>
  <si>
    <t>réparation du freinage et changement du jeu de garniturer de frein et kit réparation master de frein arrier et quatre master de frein avant
changement du kit d'embrayage complet</t>
  </si>
  <si>
    <t>des verins</t>
  </si>
  <si>
    <t xml:space="preserve">changement des kit réparation du deux verin hydraulique de direction 
wafabenne </t>
  </si>
  <si>
    <t>suspention</t>
  </si>
  <si>
    <t>des brides de serrag</t>
  </si>
  <si>
    <t xml:space="preserve">sortie hors sté pour changement des brisdes de serrage des ressort a lame </t>
  </si>
  <si>
    <t xml:space="preserve">réparation du porte arrire et pentire du pare cho arrire </t>
  </si>
  <si>
    <t xml:space="preserve">vidange d'ehuile moteur 15w40  </t>
  </si>
  <si>
    <t xml:space="preserve">GASOIL </t>
  </si>
  <si>
    <t xml:space="preserve">fixation du reservoire gasoil </t>
  </si>
  <si>
    <t xml:space="preserve">réparation du fixation du reservoire de gasoil </t>
  </si>
  <si>
    <t xml:space="preserve">suspontion </t>
  </si>
  <si>
    <t xml:space="preserve">reparation des element de suspontion et changement des amortisseurs avant et des amortisseur arriere 
changement des bielette de suspontion 
changement du jeu de plaquette avant et desz garniture arriere 
changement du jeu de balaie d'essuie gmlace </t>
  </si>
  <si>
    <t xml:space="preserve">changement du moteur thrmique achat du l'aferaille changementdu  radiateur de refroidissement 
</t>
  </si>
  <si>
    <t>chagement du quatre pneu ref 315/80R22,5</t>
  </si>
  <si>
    <t xml:space="preserve">chgangement du jeu du balai d'esuie glace </t>
  </si>
  <si>
    <t>démarrage moteur</t>
  </si>
  <si>
    <t xml:space="preserve">battriue de démarrage </t>
  </si>
  <si>
    <t xml:space="preserve">changement du deux battrie de démarrage 12v l5 </t>
  </si>
  <si>
    <t xml:space="preserve">fuite au niveau du pompe a gasoil </t>
  </si>
  <si>
    <t xml:space="preserve">réparation du pompe a gasoil a ste casa diesel </t>
  </si>
  <si>
    <t>joint du pompe</t>
  </si>
  <si>
    <t xml:space="preserve">changement du joint du pompe de grue de levage 
reparation du fuite au niveau moteur </t>
  </si>
  <si>
    <t>réparation du preobleme de freinage et réglage du jeu de frein 
changement du liquide de refroidissemùent 
réparation du fuite d'huile moteur</t>
  </si>
  <si>
    <t xml:space="preserve">prise de force </t>
  </si>
  <si>
    <t>changement du prise de force pour pompe de grue de levage</t>
  </si>
  <si>
    <t xml:space="preserve">réparation d'eclaige et changement des lampes </t>
  </si>
  <si>
    <t xml:space="preserve">réparation des fuites au niveau de dlexible hydraulique </t>
  </si>
  <si>
    <t xml:space="preserve">réparration d'eclairage et chagement des lampes </t>
  </si>
  <si>
    <t xml:space="preserve">réparation du prise de force et changement de leur joint 
vidange d'huile de boite a vitesse 
réparation du fuite d'air comprimé 
</t>
  </si>
  <si>
    <t xml:space="preserve">graissage du moteur </t>
  </si>
  <si>
    <t xml:space="preserve">filtre a huile </t>
  </si>
  <si>
    <t xml:space="preserve">changement du filtre a huile colmaté (marque adaptable )
raparation du fuite d'huile hydraulique 
graissage et lavage genarale d'engin </t>
  </si>
  <si>
    <t xml:space="preserve">fuite des verin 
</t>
  </si>
  <si>
    <t xml:space="preserve">des kit réparation verin </t>
  </si>
  <si>
    <t>cardon de transmission</t>
  </si>
  <si>
    <t>changement des vis de fixation du cardon de transmission</t>
  </si>
  <si>
    <t xml:space="preserve">reservoire de gasoil </t>
  </si>
  <si>
    <t xml:space="preserve">changement du reservoire gasoil achat du laferaille </t>
  </si>
  <si>
    <t>refroidissement moteur</t>
  </si>
  <si>
    <t xml:space="preserve">dépose et pose du radiateur pour réparatiion a sté redouane radiateur 
réparation du fuite d'air comprimé au niveau du venteuse de frein arriere </t>
  </si>
  <si>
    <t>vidange d'huile moteur 15w40
lavage et graissage genarale d'engin 
160600 km</t>
  </si>
  <si>
    <t xml:space="preserve">dressage et peinture du parchoc arriere </t>
  </si>
  <si>
    <t>caisse d'outillage</t>
  </si>
  <si>
    <t xml:space="preserve">des element endommmagée </t>
  </si>
  <si>
    <t xml:space="preserve">réparation des element de suspention endommagé </t>
  </si>
  <si>
    <t xml:space="preserve">changement de deux battrie de démarrage l5 </t>
  </si>
  <si>
    <t xml:space="preserve">vidange </t>
  </si>
  <si>
    <t xml:space="preserve">vidange d'huile moteur et changement 
du filtre a huile 2654403
filtre a gasoil 26561117
filtre a air rm 954
filtre ahydraulique 561749 nf
2840 h
</t>
  </si>
  <si>
    <t>réparation diu fixation du cardon de transmission 
mise a niveau d'huile hydraaulique 
changement du croisillon du cardon n</t>
  </si>
  <si>
    <t xml:space="preserve">vidange d'huile poteur et changement du filtre a huile ref 01174416
filtre a gasoil ref 1174696
changement du démarreur 12 complet 
4800 h
</t>
  </si>
  <si>
    <t>vidange d'huile moteur et changeent du filtre  a huile ref me 034611
filtre a gasoil ref me 073160
filtre a air meme 073160
814000 km</t>
  </si>
  <si>
    <t xml:space="preserve">changement des cosses battrie et mise a niveau d'eau de battrie 
réparation d'eclairtage et changement des lampes </t>
  </si>
  <si>
    <t>vidange d'huile moteur et changement du filtre a huile et filtre a gasoil et filtre a air 
197000 km</t>
  </si>
  <si>
    <t>des plaquette de fren</t>
  </si>
  <si>
    <t>reparatyion de freinage et changement des plaquette 
des master de freinarriere
changement du cable de freina a main</t>
  </si>
  <si>
    <t xml:space="preserve">optique avant </t>
  </si>
  <si>
    <t xml:space="preserve">changemen du deux optique avant </t>
  </si>
  <si>
    <t>vidange d'hguile moteur et changement du filtrea gasoil et antigel 
691000 km</t>
  </si>
  <si>
    <t xml:space="preserve">changement du reservoire de gasoil 
achat du laferaille 
réparation et changement du fixation du reservoire </t>
  </si>
  <si>
    <t xml:space="preserve">moiteur endommage </t>
  </si>
  <si>
    <r>
      <t xml:space="preserve">démotage generale d'engin pour mise a nouveu 
et changement du moteur thermique 
achat du laferaille 
changement du pompe a eau 
changement des flexible 
changement des durite 
</t>
    </r>
    <r>
      <rPr>
        <sz val="12"/>
        <color rgb="FFFF0000"/>
        <rFont val="Arial"/>
        <family val="2"/>
      </rPr>
      <t>on cour de réparation</t>
    </r>
  </si>
  <si>
    <t xml:space="preserve">depose du radiateue pour réparé a ste redouane 
</t>
  </si>
  <si>
    <t xml:space="preserve">tuyau d'air </t>
  </si>
  <si>
    <t>réparation du fuite d'air comprime 
changement du klaxon 24 v baboucha</t>
  </si>
  <si>
    <t>hydraulique</t>
  </si>
  <si>
    <t xml:space="preserve">réparation du fuite d'huile hydraulique 
soudage du flexible </t>
  </si>
  <si>
    <t xml:space="preserve">confection du caisse d'outillage 
changement du pare brise avant </t>
  </si>
  <si>
    <t xml:space="preserve">changement du quatre pneu ref 10R22,5 </t>
  </si>
  <si>
    <t xml:space="preserve">cangement du pompe a eau 
réparation du fuite a air </t>
  </si>
  <si>
    <t xml:space="preserve">pare brise avant </t>
  </si>
  <si>
    <t xml:space="preserve">montage du plexyglace au lieu du pare brise avant </t>
  </si>
  <si>
    <t>klaxon</t>
  </si>
  <si>
    <t xml:space="preserve">changement du klaxon 24 v baboucha 
réparation d'eclairage et changement des lampes </t>
  </si>
  <si>
    <t xml:space="preserve">canal du gaszoil </t>
  </si>
  <si>
    <t xml:space="preserve">réparation du fuite de gasoil </t>
  </si>
  <si>
    <t xml:space="preserve">moteur </t>
  </si>
  <si>
    <t>changement du moteur thermique (achat du laferaille )
changement des flexibles hydraulique 
changement des filtres et vidange d'huile moteur 
28300 h</t>
  </si>
  <si>
    <t xml:space="preserve">des fuites d'air </t>
  </si>
  <si>
    <t xml:space="preserve">changement de klaxon 
réparation des fuites d'air </t>
  </si>
  <si>
    <t xml:space="preserve">fuite dair </t>
  </si>
  <si>
    <t xml:space="preserve">tecalent </t>
  </si>
  <si>
    <t>vidange d'huile moteur et changement du filtre a huile et filtre a gasoil 
877000 km</t>
  </si>
  <si>
    <t xml:space="preserve">des plaquetyte de frein </t>
  </si>
  <si>
    <t xml:space="preserve">réparation du probleme de freinage e changement de jeu de plaquette de frein  et des fiche d'usure plaquette </t>
  </si>
  <si>
    <t xml:space="preserve">venteuse de cabine </t>
  </si>
  <si>
    <t xml:space="preserve">changement du venteuse de cabine aarriere droit </t>
  </si>
  <si>
    <t xml:space="preserve">changement du jeu detuyau spirale et deux jeu de main d'acoupplement 
changement des cosses battrie 
changement du phare secour </t>
  </si>
  <si>
    <t xml:space="preserve">pare brise </t>
  </si>
  <si>
    <t>MANITOU</t>
  </si>
  <si>
    <t xml:space="preserve">plexyglace </t>
  </si>
  <si>
    <t xml:space="preserve">changement du plaque de plexyglace </t>
  </si>
  <si>
    <t xml:space="preserve">vidange d'huile moteur et mise a niveau d'huile hydraulique </t>
  </si>
  <si>
    <t>antigel</t>
  </si>
  <si>
    <t>changement du liquide de refroidissement 
antigel afriquia</t>
  </si>
  <si>
    <t xml:space="preserve">changement du deux cosse battrie </t>
  </si>
  <si>
    <t xml:space="preserve">charge battrie </t>
  </si>
  <si>
    <t>changement du flexible percé 
mise a niveau d'huile hydraulique aw 68 
105 l</t>
  </si>
  <si>
    <t xml:space="preserve">venteuse de frein </t>
  </si>
  <si>
    <t xml:space="preserve">changement du venteuse de frein </t>
  </si>
  <si>
    <t>fuite d'huile moteur</t>
  </si>
  <si>
    <t xml:space="preserve">cartyer d'huile </t>
  </si>
  <si>
    <t>réparation du probleme de fuite d'huile moteur au niveaucarter d'huile moteur
vidange dhuile moteur 15W40</t>
  </si>
  <si>
    <t xml:space="preserve">des feu rouge </t>
  </si>
  <si>
    <t xml:space="preserve">changement du deux feu rouge arriere gauche et droit 
changement du bouchon adblue 
changement du cbouchon reservoir gasoil </t>
  </si>
  <si>
    <t>vidabge d'huile moteur et changemlent du filtre a 
huile ref 1109AY
filktre a gasoil ref 9809721080
filtre a air ref 1444TV
huilr moteur 15w40 bidon 5litres 
397000 km</t>
  </si>
  <si>
    <t>des rotules</t>
  </si>
  <si>
    <t xml:space="preserve">changement du cable de freina a main 
changement deudeux master de frein arriere x
tondeur du courroie et courroie d'accessoires 
</t>
  </si>
  <si>
    <t>changement du barre de direction courte</t>
  </si>
  <si>
    <t xml:space="preserve">painture du carosserie </t>
  </si>
  <si>
    <t xml:space="preserve">réparation des element de suspention ,endommagé 
changement du deux bielette de suspention deux amortisseur 
jeu de plaquette de frein support moteur inferieure 
silent bloc amortisseur  des triangle de suspoention 
deux chappe de direction 
roullement amortisseur </t>
  </si>
  <si>
    <t xml:space="preserve">dessicateur d'air </t>
  </si>
  <si>
    <t xml:space="preserve">changement du dessicateur d'air comprimé et réparation du fuite d'air 
</t>
  </si>
  <si>
    <t>vidabnge d'huile moteur 15W40
404000 km</t>
  </si>
  <si>
    <t>changement du pipe d'eau</t>
  </si>
  <si>
    <t xml:space="preserve">réparation du fuite au niveau du refrigerant moteur </t>
  </si>
  <si>
    <t>changement du pompe a eau et pipe d'eau 
changement du poulie de pompe a eau</t>
  </si>
  <si>
    <t xml:space="preserve">changement du tuyau d'air 
et des prise d'air </t>
  </si>
  <si>
    <t xml:space="preserve">des cosse battrie </t>
  </si>
  <si>
    <t xml:space="preserve">changemendes cosses battrie </t>
  </si>
  <si>
    <t>vidange d'huile moteur 15w40 
80500km</t>
  </si>
  <si>
    <t xml:space="preserve">réparation du probleme de freinage et changement du jeu de garniture de frein 
et quatre came de reglage frein 
ressort de rappele came de frein 
</t>
  </si>
  <si>
    <t xml:space="preserve">réparation deu freinage et changement du deux jeu de garniture de frein et arrét de graisse moyeu 
changement du mecanisme de leve glace cote gauche 
changement des arrét de graisse moyeu
changement d'appareille de frein 
graisse des moyeu et mecanisme de leve glace </t>
  </si>
  <si>
    <t xml:space="preserve">réparation d'eclairtage et changement des alampes </t>
  </si>
  <si>
    <t xml:space="preserve">vidange d'huuile moteur et changement des filtre a huile et filtre aair et filtre a gasoil 
</t>
  </si>
  <si>
    <t xml:space="preserve">changementr du moteur thermique achat d'occasion </t>
  </si>
  <si>
    <t xml:space="preserve">vidage d'huile moteur et changement des filtre a huile et filtre a gasoil </t>
  </si>
  <si>
    <t xml:space="preserve">réparation du probleme electrique et changement des fil </t>
  </si>
  <si>
    <t xml:space="preserve">monte charge </t>
  </si>
  <si>
    <t xml:space="preserve">galet de rampe </t>
  </si>
  <si>
    <t xml:space="preserve">changment des galet de monte charge </t>
  </si>
  <si>
    <t xml:space="preserve">depose et pose du culasse pour changé leur jint et pochette roudage et des joint des injecteurs et jjoint du pipe d'eau </t>
  </si>
  <si>
    <t xml:space="preserve">changement du feu de signale avant droit 
changemen du carte electronique pour feu de signale </t>
  </si>
  <si>
    <t xml:space="preserve">vidange d'huile moteur et changement du fiiltre a huile et filtre a gasoil et filtre a air 
lavage et graissage genarale d'engin 
rééparatyion du fuiite a air </t>
  </si>
  <si>
    <t xml:space="preserve">moteur de leve glace </t>
  </si>
  <si>
    <t xml:space="preserve">changement du moto leve glace coté droit 
réparatio du fuite d'air </t>
  </si>
  <si>
    <t xml:space="preserve">changement du ventese de frein type 24 cpmlet 
réparation des fuite d'air comprimé </t>
  </si>
  <si>
    <t xml:space="preserve">fuite d'appareille d'airt </t>
  </si>
  <si>
    <t xml:space="preserve">changement d'appareille d'air de frein </t>
  </si>
  <si>
    <t xml:space="preserve">etrier de frein </t>
  </si>
  <si>
    <t xml:space="preserve">changement du deux etrier de frein d'essieu avant </t>
  </si>
  <si>
    <t xml:space="preserve">peinture des cotés pourée </t>
  </si>
  <si>
    <t>diagnostique et réparation du probleme electronique dinjaction ADBLUE</t>
  </si>
  <si>
    <t xml:space="preserve">diagnostique et réparation du probleme du boite a vitesse </t>
  </si>
  <si>
    <t xml:space="preserve">fuite d'air comprimée </t>
  </si>
  <si>
    <t>réparation des probleme de fuite d'air comprimé changement du pompe d'embrayage interieur et sup</t>
  </si>
  <si>
    <t>changement du moiteur thermique (achat du laferaille )
elimination des fuite d'huile hydraulique 
réparation des probleme electrique démarrage et eclairage</t>
  </si>
  <si>
    <t xml:space="preserve">changement du deux amortisseur avant </t>
  </si>
  <si>
    <t xml:space="preserve">changement des garniture de frein 
chanagement des arrét de graisse moyeu
changeent des master de frein avant et arrier coté gauche 
changement du kit d'embrayage complet </t>
  </si>
  <si>
    <t xml:space="preserve">fuite d'huile moteur </t>
  </si>
  <si>
    <t>arrét d'huuile moteur</t>
  </si>
  <si>
    <t xml:space="preserve">changement d'arrét d'huile moteur coté volant moteur 
</t>
  </si>
  <si>
    <t xml:space="preserve">cerveau dembrayage  </t>
  </si>
  <si>
    <t xml:space="preserve">changement du cerveau d'embrayage </t>
  </si>
  <si>
    <t>arbre prim BV</t>
  </si>
  <si>
    <t xml:space="preserve">dépose et pose du bv pour réctifier d'arbre de boite a vitess primaire </t>
  </si>
  <si>
    <t xml:space="preserve">changement du venteuse de cabine et klaxon </t>
  </si>
  <si>
    <t xml:space="preserve">pompe d'eambrayage </t>
  </si>
  <si>
    <t>changement du pompe de'embrayage superieure</t>
  </si>
  <si>
    <t>réparation du probleme de diagnostique electronique</t>
  </si>
  <si>
    <t xml:space="preserve">réparation du probleme d'arrét moteur </t>
  </si>
  <si>
    <t xml:space="preserve">refroidissement </t>
  </si>
  <si>
    <t xml:space="preserve">pompe a gasoil </t>
  </si>
  <si>
    <t xml:space="preserve">changement d'arrét dhuile moteur arriere 
tarage et réparation du pompe a gasoil 
changement du collecteur d'admission </t>
  </si>
  <si>
    <t xml:space="preserve">dépose du bv pour changé leur kit d'embrayage complet et réparation des probleme de freinage et changement des garniture de freinb et des master de frein avant et achat du boiote de vitesse complet chat du bon occasion </t>
  </si>
  <si>
    <t xml:space="preserve">réparation des element de suspention </t>
  </si>
  <si>
    <t>probleme d'ABS</t>
  </si>
  <si>
    <t xml:space="preserve">réparation du probleme d'abs </t>
  </si>
  <si>
    <t>JJH 25566</t>
  </si>
  <si>
    <t>JJH225899</t>
  </si>
  <si>
    <t>JJH58997</t>
  </si>
  <si>
    <t>JJK5369</t>
  </si>
  <si>
    <t>NGG22514</t>
  </si>
  <si>
    <t>11R22,5</t>
  </si>
  <si>
    <t>KLL45451</t>
  </si>
  <si>
    <t>LMM2141</t>
  </si>
  <si>
    <t>LLM25668</t>
  </si>
  <si>
    <t>MML12554</t>
  </si>
  <si>
    <t>MML45887</t>
  </si>
  <si>
    <t>LMM25663</t>
  </si>
  <si>
    <t>LMM655889</t>
  </si>
  <si>
    <t>LMM54478</t>
  </si>
  <si>
    <t>engin en arrét</t>
  </si>
  <si>
    <t>10/10/223</t>
  </si>
  <si>
    <t xml:space="preserve">dacia khalil </t>
  </si>
  <si>
    <t xml:space="preserve">des chappes de direction </t>
  </si>
  <si>
    <t xml:space="preserve">changement des chappe de direction 
vidange d'huile moteur et changement des filtres a nhuile </t>
  </si>
  <si>
    <t xml:space="preserve">réglage du jeu de plaquette defrein </t>
  </si>
  <si>
    <t xml:space="preserve">des plaquette defrein </t>
  </si>
  <si>
    <t xml:space="preserve">changemen,t du jeu de plaquette de frein </t>
  </si>
  <si>
    <t xml:space="preserve">déplacement a ste EFAMAR pour diagnostique et réparation du probleme de selection vitesse </t>
  </si>
  <si>
    <t xml:space="preserve">prob electrique </t>
  </si>
  <si>
    <t>arrét moteur</t>
  </si>
  <si>
    <t>réparation du probleme d'arret moteur</t>
  </si>
  <si>
    <t>changement du deux battries de démarrage 12v</t>
  </si>
  <si>
    <t xml:space="preserve">changement du pnu ref 315/80r22,5
paralellisme d'essieu avant </t>
  </si>
  <si>
    <t>déplacement du camion a ste SEFAMARpour un diagnoistique electronique</t>
  </si>
  <si>
    <t xml:space="preserve">ususre des pieces </t>
  </si>
  <si>
    <t xml:space="preserve">mise a nouveau du moteur et changement des quatre piston et jeu des segment 
changemlent du ompe a eau 
changement de refrigerant d"huile moteur 
 débouchage du radiateru 
battrie de démarrage </t>
  </si>
  <si>
    <t xml:space="preserve">boite a vitesse </t>
  </si>
  <si>
    <t xml:space="preserve">arbre primaire </t>
  </si>
  <si>
    <t xml:space="preserve">sortie a safi pour déppanage du camion et changement du arbre primaire du boite a vitesse et des roullement 
changement du kit d'embrayage 
des a&amp;rrét d'huile moteur </t>
  </si>
  <si>
    <t xml:space="preserve">diagnostique electronique et changement des joystick de levier distributeur hydraulique </t>
  </si>
  <si>
    <t>disque d'elmbrayage</t>
  </si>
  <si>
    <t>changement du kit d'embrayage complet 
changement du fourchette de  butee d'embrayage 
changement du cerveau d'embrayage 
et suuport butee</t>
  </si>
  <si>
    <t xml:space="preserve">courroie d'accessoire </t>
  </si>
  <si>
    <t xml:space="preserve">changement du courroie d'accessoires </t>
  </si>
  <si>
    <t>duritte hydraulique</t>
  </si>
  <si>
    <t>changement du durite hydraulkique</t>
  </si>
  <si>
    <t xml:space="preserve">des lames </t>
  </si>
  <si>
    <t xml:space="preserve">des garnitures de frein </t>
  </si>
  <si>
    <t xml:space="preserve">changement du deux amortisseurs avant 
changement du deux amortisseur arriere 
vidange d'huile moteur et changemlent du filtre a huoi et filtre a gasoil 
et filtre a gasoil </t>
  </si>
  <si>
    <t xml:space="preserve">changeùment du contact de démarrage et boule de levier de vitesse 
des tomates </t>
  </si>
  <si>
    <t xml:space="preserve">reparation du fuite d'air </t>
  </si>
  <si>
    <t>changement d'appareille d'air</t>
  </si>
  <si>
    <t xml:space="preserve">changement d'appareille d'air </t>
  </si>
  <si>
    <t xml:space="preserve">tuyau percé </t>
  </si>
  <si>
    <t xml:space="preserve">réparation du fuite d'air au niveau du venteuse de frein </t>
  </si>
  <si>
    <t>changement des venteuse de frein arrire plateau 
soudage des fissure au niveau du plateau</t>
  </si>
  <si>
    <t xml:space="preserve">MOTEUR </t>
  </si>
  <si>
    <t xml:space="preserve"> courroie </t>
  </si>
  <si>
    <t xml:space="preserve">changemet du couroie d'ccessoires et des tondeur </t>
  </si>
  <si>
    <t xml:space="preserve">changement du deux jeu de garniture de frein et quetre master de frein avant 
changement du boiite a vitesse chat du laferaille 
changemen du kit d'mbrayage complet 
changeent des arrét de graisse moyeu et des master de frein arriére 
</t>
  </si>
  <si>
    <t xml:space="preserve">vidange d'huile moteur </t>
  </si>
  <si>
    <t xml:space="preserve">changement du contact de démarrage 24 v 
achat du laferaille </t>
  </si>
  <si>
    <t xml:space="preserve">elecrique </t>
  </si>
  <si>
    <t xml:space="preserve">vidange d'huile moteur et changement des filtre a huile gasoil et filtre a air </t>
  </si>
  <si>
    <t>changement du trois venteuse de frein complet</t>
  </si>
  <si>
    <t>mise a nouveau</t>
  </si>
  <si>
    <t>mise a nouveau du mteur thermique et changement des piston et guide soupppape et souppape 
pompe a eau des joint plaque distribution et plaque distribution 
refrgerant moteur complet 
pochatte joint colmplet</t>
  </si>
  <si>
    <t>eclairrage</t>
  </si>
  <si>
    <t>réparation du probleme electrique et changement de fiche prolongateur 
vidabge d'huile moteur et graissage generale d'engin</t>
  </si>
  <si>
    <t xml:space="preserve">changement d'alternateur de charge battrie </t>
  </si>
  <si>
    <t>pieces usee</t>
  </si>
  <si>
    <t xml:space="preserve">changement du moteur thrmique achat du l'aferaille 
changement du prefiltre a gasoil 
des filtre a huile gasoil et air 
vidange d'huile moteur 
</t>
  </si>
  <si>
    <t>vidange d'huile moteur et changemant du filtre a huiile</t>
  </si>
  <si>
    <t xml:space="preserve">huile moteur </t>
  </si>
  <si>
    <t xml:space="preserve">changement du joint culasse 
changement du refrigerant moteur et contrôle du culasse </t>
  </si>
  <si>
    <t xml:space="preserve">depose et pose du culasse pour changé leur joint 
</t>
  </si>
  <si>
    <t xml:space="preserve">changement du deux pneu ref 315/80R22,5 </t>
  </si>
  <si>
    <t xml:space="preserve">changement du deux disque de frein arriere 
changement du deux jeu de plaquette avant et arriere 
changement des fiche d'usure plaquette de frein 
</t>
  </si>
  <si>
    <t>peinture des coté accidentée 
changement du klaxon</t>
  </si>
  <si>
    <t xml:space="preserve">moyeu avant </t>
  </si>
  <si>
    <t>ventilateur de refroidissement</t>
  </si>
  <si>
    <t>changement du ventilateur de refroidissement 
changement du durite d'eau</t>
  </si>
  <si>
    <t>eclairagee</t>
  </si>
  <si>
    <t>réparation d'eclairage etr changement des lampes</t>
  </si>
  <si>
    <t xml:space="preserve">kit dembrayage usée </t>
  </si>
  <si>
    <t xml:space="preserve">changement du kit d'embrayage et vidange d'huile moteur avec des filktres </t>
  </si>
  <si>
    <t>changement du moyeu de roue avant tracteur 
avec jeu de garniture frein</t>
  </si>
  <si>
    <t xml:space="preserve">achangement du eu de garniture de fein arriere </t>
  </si>
  <si>
    <t>démotage generale d'engin pour mise a nouveu 
et changement du moteur thermique 
achat du laferaille 
changement du pompe a eau 
changement des flexible 
changement des durite 
on cour de réparation</t>
  </si>
  <si>
    <t>mecanique</t>
  </si>
  <si>
    <t xml:space="preserve">entretien </t>
  </si>
  <si>
    <t xml:space="preserve">Mecanique </t>
  </si>
  <si>
    <t xml:space="preserve">changement de moyeu roue AV </t>
  </si>
  <si>
    <t>3947/4233</t>
  </si>
  <si>
    <t xml:space="preserve">mecanique </t>
  </si>
  <si>
    <t>fuite d'huile hyd</t>
  </si>
  <si>
    <t>SRV</t>
  </si>
  <si>
    <t xml:space="preserve">cardon </t>
  </si>
  <si>
    <t xml:space="preserve">changement du croisillon du cardon 
reparation et elimination des fuites d'air 
changement du boule de levier de vitesse </t>
  </si>
  <si>
    <t xml:space="preserve">Reparation d'eclairage et changement des lampes </t>
  </si>
  <si>
    <t xml:space="preserve">suspention moteur </t>
  </si>
  <si>
    <t xml:space="preserve">Changement du deux moteur inf et sup </t>
  </si>
  <si>
    <t xml:space="preserve">Entretien </t>
  </si>
  <si>
    <t xml:space="preserve">Vidange d'huile moteur 15w40 
lavage et grissage generale d'engin </t>
  </si>
  <si>
    <t xml:space="preserve">probleme au niveau du moteur  </t>
  </si>
  <si>
    <t>depose et pose du culasse pour controler l'etat du culasse et changement du joint culasse</t>
  </si>
  <si>
    <t xml:space="preserve">changement de support filtre à gasoil avec pompe d'amossage </t>
  </si>
  <si>
    <t xml:space="preserve">refroidissement moteur </t>
  </si>
  <si>
    <t xml:space="preserve">Changement du radiateur 
changement de liquide refroidissement </t>
  </si>
  <si>
    <t xml:space="preserve">changement du lampes d'eclairage avant et reparation des fuites d'air </t>
  </si>
  <si>
    <t xml:space="preserve">changement du moteur thermique 
reparation et elimination des fuites d'huile hydraulique </t>
  </si>
  <si>
    <t xml:space="preserve">1854 
1962 
1857 
1733 
1351 </t>
  </si>
  <si>
    <t xml:space="preserve">Autres </t>
  </si>
  <si>
    <t xml:space="preserve">Carosserie </t>
  </si>
  <si>
    <t xml:space="preserve">Changement de retroviseur cote gauche 
changement des serrures de verouillage porte </t>
  </si>
  <si>
    <t xml:space="preserve">Mecanique / Electrique </t>
  </si>
  <si>
    <t xml:space="preserve">panne electrique </t>
  </si>
  <si>
    <t>Reparation du probleme du marche AV/AR</t>
  </si>
  <si>
    <t>bruit au niveau du roue AV.D</t>
  </si>
  <si>
    <t>Changement du moyeu du roue AV.D</t>
  </si>
  <si>
    <t xml:space="preserve">pneus </t>
  </si>
  <si>
    <t>changement des quatres pneux REF 315/80R22,5</t>
  </si>
  <si>
    <t>changement des deux pneu ref 315180R22,5</t>
  </si>
  <si>
    <t>changement des deux jeux de plaquettes de frein et deux disque de frein avant , avec fiche de plaquette de frein</t>
  </si>
  <si>
    <t xml:space="preserve">Changement des deux arret d'huile du moyeu de roue arriere </t>
  </si>
  <si>
    <t xml:space="preserve">Vidange d'huile moteur et changement du filtre a huile 
lavage et grissage general d'engin </t>
  </si>
  <si>
    <t xml:space="preserve">changement du kit d'embrayage complet (disque ,plateau et butée ) 
reparation des fuites d'air comprimée
</t>
  </si>
  <si>
    <t xml:space="preserve">Reparationn de fuite d'huile et changement du kit verin de lavage fourche </t>
  </si>
  <si>
    <t xml:space="preserve">changement des deux jeux de plaquettes de frein et deux disque de frein avant 
changement des deux royule de triangle de suspention </t>
  </si>
  <si>
    <t>probleme au niveau du transmission</t>
  </si>
  <si>
    <t xml:space="preserve">changement du support cardon et croisillon cardon </t>
  </si>
  <si>
    <t xml:space="preserve">fuite d'huile pont arriere </t>
  </si>
  <si>
    <t xml:space="preserve">changement d'arret d'huie du pont arriere </t>
  </si>
  <si>
    <t>4392/4403</t>
  </si>
  <si>
    <t>probleme au niveau du moteur thermique</t>
  </si>
  <si>
    <t xml:space="preserve">chnagement du joint culasse moteur </t>
  </si>
  <si>
    <t xml:space="preserve">changement du jeu de garniture de frein 
alesage  des tambours de frein 
changement des arrets de graisse moyeu de roue 
</t>
  </si>
  <si>
    <t>4451 
4473 
4475</t>
  </si>
  <si>
    <t xml:space="preserve">refroidissement du moteur </t>
  </si>
  <si>
    <t xml:space="preserve">changement du coupleur de ventilateur refroidissement moteur </t>
  </si>
  <si>
    <t xml:space="preserve">vidange d'huile moteur et changement du filtre à huile , filtre à gasoil , filtre à air </t>
  </si>
  <si>
    <t>24/01/224</t>
  </si>
  <si>
    <t xml:space="preserve">reparation du freinage et changement du jeu de garniture de frein 
vidange d'huile moteur et changement des filtres à huile , gasoi , air </t>
  </si>
  <si>
    <t>4588/4597</t>
  </si>
  <si>
    <t xml:space="preserve">demarrage moteur </t>
  </si>
  <si>
    <t>changement du pompe a gasoil et turbo compression ( achat du la feraille )</t>
  </si>
  <si>
    <t xml:space="preserve">refroidissement irruglier </t>
  </si>
  <si>
    <t xml:space="preserve">changement du courroie d'entrainement du pompe a eau </t>
  </si>
  <si>
    <t xml:space="preserve">vidange d'huile moteur et changement du filtre à huile , filtre à gasoil 
lavage et grissage general d'engin </t>
  </si>
  <si>
    <t xml:space="preserve">vidange d'huile moteur et changement du filtre à huile , filtre à gasoil , filtre à air 
lavage et grissage general d'engin </t>
  </si>
  <si>
    <t xml:space="preserve">vidange d'huile moteur et changement du filtre à huile , filtre à gasoil , filtre à air 
</t>
  </si>
  <si>
    <t>signalisation</t>
  </si>
  <si>
    <t xml:space="preserve">changement de klaxon 24V 
reparation d'eclairage plateau </t>
  </si>
  <si>
    <t xml:space="preserve">Changement du jeu de balai d'essuie glace 
Reparation d'eclairage </t>
  </si>
  <si>
    <t xml:space="preserve">suspention  </t>
  </si>
  <si>
    <t xml:space="preserve">changement du deux amortisseur arriere </t>
  </si>
  <si>
    <t xml:space="preserve">Changement du vase d'expansion </t>
  </si>
  <si>
    <t>vidange d'huile moteur et changement du filtre a huile</t>
  </si>
  <si>
    <t xml:space="preserve">reparation du fuite d'air comprimé 
vidange d'huile moteur 15WW et changement du filtre a huile </t>
  </si>
  <si>
    <t xml:space="preserve">Reparation du probleme de freinage et changement du jeu de garniture de frein , des master de frein , tambours de frein et graissage des moyeu de roue </t>
  </si>
  <si>
    <t>Vidange d'huile moteur et changement du filtre à huile , filtre à air , filtre à gasoil 
lavage et graissage general d'engin</t>
  </si>
  <si>
    <t xml:space="preserve">reparation du probleme au niveau d'embrayage et changement du pompe sup </t>
  </si>
  <si>
    <t xml:space="preserve">vidange d'huile moteur 15W40 ety chnangement des filtres a huile gasoil et air 
lavage et graissage d'engin </t>
  </si>
  <si>
    <t xml:space="preserve">reparation du demarrage moteur et changement du bendix demarreur avec bagues et charbon  </t>
  </si>
  <si>
    <t xml:space="preserve">electrique / mecanique </t>
  </si>
  <si>
    <t xml:space="preserve">changement du coupleur de ventilateur et jante de pneus 
vidange d'huile moteur et changement du filtre à huile </t>
  </si>
  <si>
    <t xml:space="preserve">changement des feu de signal et feu rouge lateral </t>
  </si>
  <si>
    <t xml:space="preserve">changement des deux pompes d'embrayage superieure et inferieur </t>
  </si>
  <si>
    <t>reparation du probleme d'injection gasoil et chnagement du filtre de chassis</t>
  </si>
  <si>
    <t>08/02/224</t>
  </si>
  <si>
    <t xml:space="preserve">acceleration moteur </t>
  </si>
  <si>
    <t xml:space="preserve">changement du cable d'accélération moteur </t>
  </si>
  <si>
    <t xml:space="preserve">mecanique/electrique </t>
  </si>
  <si>
    <t xml:space="preserve">changement des lampes d'eclairage </t>
  </si>
  <si>
    <t>C / P</t>
  </si>
  <si>
    <t xml:space="preserve">vidange d'huile moteur et changement du filtre a huile , filtre à gasoil 
lavage et graissage general d'engin </t>
  </si>
  <si>
    <t xml:space="preserve">Démarrage </t>
  </si>
  <si>
    <t xml:space="preserve">reparataion du probleme de demarrage et changement du filtre à gasoil </t>
  </si>
  <si>
    <t xml:space="preserve">Eclairage </t>
  </si>
  <si>
    <t xml:space="preserve">changement des lampes 
reparation du fuite d'air comprimé </t>
  </si>
  <si>
    <t xml:space="preserve">Carrosserie </t>
  </si>
  <si>
    <t>peinture generale d'engin</t>
  </si>
  <si>
    <t>5188/5196</t>
  </si>
  <si>
    <t xml:space="preserve">vidange d'huile moteur et changement du filtre à huile f*, filtre à gasoil , filtre a air </t>
  </si>
  <si>
    <t xml:space="preserve">vidange d'huile moteur 15W40et changement de filtre à air , filtre à huile , filtre à gasoil </t>
  </si>
  <si>
    <t>reparation du fuite d'huile hyd et changement de distributeur hyd</t>
  </si>
  <si>
    <t xml:space="preserve">reparation du probleme de freinage et changement des master de frein  des plaquettes de frein un moyeu du roue et des atter de graisse moyeu </t>
  </si>
  <si>
    <t>Temps 
d'arrêt 
(min)</t>
  </si>
  <si>
    <t>Temps
d'intervention (min)</t>
  </si>
  <si>
    <t>changement des deux pneus ref 12R22,5</t>
  </si>
  <si>
    <t>22/02//2024</t>
  </si>
  <si>
    <t xml:space="preserve">joint carter d'huile moteur </t>
  </si>
  <si>
    <t xml:space="preserve">reparation de fuite d'huile et changement de kit reparation verin de levage et rotule de verin </t>
  </si>
  <si>
    <t xml:space="preserve">reparation du verin de levage et changement de kit reparation verin </t>
  </si>
  <si>
    <t xml:space="preserve">Reparation d'eclairage et changement des lampes et cataphotes </t>
  </si>
  <si>
    <t xml:space="preserve">vidange d'huile moteur 15W40 
changement du retroviseur cote droit </t>
  </si>
  <si>
    <t xml:space="preserve">vidange d'huile moteur 15W40 
changement du filtre a huile , filtre a gasoil , filtre a air 
lavage et graissage general d'engin 
</t>
  </si>
  <si>
    <t xml:space="preserve">changement du cable d'acceleration moteur </t>
  </si>
  <si>
    <t xml:space="preserve">changement du joint culasse et des sleeves d'injecteur 
contrôle et reparation du culasse </t>
  </si>
  <si>
    <t xml:space="preserve">reparation du moyeu de roue et changement du kit reparation moyeu de roue </t>
  </si>
  <si>
    <t xml:space="preserve">direction </t>
  </si>
  <si>
    <t xml:space="preserve">reparationn d'eclairage et changement des lampes </t>
  </si>
  <si>
    <t>reparation du probleme de demarrage et changement de batterie  12V</t>
  </si>
  <si>
    <t>reparation de probleme de demarrage et changement du battrerie 12V</t>
  </si>
  <si>
    <t xml:space="preserve">reparation d'eclairage et changement des lampes </t>
  </si>
  <si>
    <t xml:space="preserve">vidange d'huile moteur 15W40 
changement du filtre à huile , filtre à gasoil 
lavage et graissage general d'engin </t>
  </si>
  <si>
    <t xml:space="preserve">fuite d'huile hyd </t>
  </si>
  <si>
    <t xml:space="preserve">reparation du fuite d'huile hyd et changement ddes kits reparation distributeur </t>
  </si>
  <si>
    <t>6138/6154</t>
  </si>
  <si>
    <t xml:space="preserve">changement tourdeur courroie de ventilateur refroidissement </t>
  </si>
  <si>
    <t>6140/6144</t>
  </si>
  <si>
    <t xml:space="preserve">reparation du freinage et changement du jeu de garniture de frein et jeu de machoir de frein + radiateur </t>
  </si>
  <si>
    <t xml:space="preserve">changement des deux pneu REF 315/80r22,5 
changement du venteuse du cabine </t>
  </si>
  <si>
    <t>changement des deux pneu REF 195A0R15</t>
  </si>
  <si>
    <t xml:space="preserve">fuite de liquide de refroidissement </t>
  </si>
  <si>
    <t xml:space="preserve">reparation de freinage et changement des masters de frein </t>
  </si>
  <si>
    <t xml:space="preserve">reparation du fuite d'air au niveau d'appareille de frein </t>
  </si>
  <si>
    <t xml:space="preserve">suspension  </t>
  </si>
  <si>
    <t xml:space="preserve">reparation des probleme de suspension et changement du biellettes de suspension , amortisseurs , jeu du courroie accessoire , des triangles de suspension des rotule de triangle et kit d'embrayage </t>
  </si>
  <si>
    <t>changement du feu de signale comodo feu de signal</t>
  </si>
  <si>
    <t>reparation du probleme de demarrage et changement des cosses de batterie</t>
  </si>
  <si>
    <t xml:space="preserve">fuite d'air comprime </t>
  </si>
  <si>
    <t xml:space="preserve">reparation du fuite d'air comprime 
soudure des fussure au niveau du chassis du plateau </t>
  </si>
  <si>
    <t>6420/6408</t>
  </si>
  <si>
    <t>marche AV/AR</t>
  </si>
  <si>
    <t>reparation du probleme de marche AV/AR</t>
  </si>
  <si>
    <t xml:space="preserve">reparation du distributeur hydraulique </t>
  </si>
  <si>
    <t xml:space="preserve">reparation de fuite et changement du pompe a gasoil </t>
  </si>
  <si>
    <t xml:space="preserve">changement des deux amortisseurs </t>
  </si>
  <si>
    <t xml:space="preserve">reparation du probleme d'embrayage et changement de kit d'embrayage complet </t>
  </si>
  <si>
    <t xml:space="preserve">vidange d'huile moteur et lavage , graissage generale d'engin </t>
  </si>
  <si>
    <t>chnagement des amortisseurs + triangles de suspension des biellette de suspension et slent bloc</t>
  </si>
  <si>
    <t>C/P</t>
  </si>
  <si>
    <t xml:space="preserve">Reparation du fuite d'air comprime 
vidange d'huile moteur 15W40
reparation d'eclairage </t>
  </si>
  <si>
    <t>demarrage</t>
  </si>
  <si>
    <t>changement du batterie de demarrage 12VL5</t>
  </si>
  <si>
    <t xml:space="preserve">reparation du freinage et changement des masters nde frein </t>
  </si>
  <si>
    <t xml:space="preserve">changement du deux optique avant </t>
  </si>
  <si>
    <t xml:space="preserve">changement des arrets de graisse moyeu </t>
  </si>
  <si>
    <t>changement du pompe d'embryage inferieure</t>
  </si>
  <si>
    <t xml:space="preserve">reparation d'eclairge et changement des lampes </t>
  </si>
  <si>
    <t xml:space="preserve">reparation du prob d'embrayage et changement du kit d'embrayage et butee + fourchette d'embrayage 
reparation du fuite d'huile de refroidissement moteur ,  changement du barre de direction </t>
  </si>
  <si>
    <t>electrrique</t>
  </si>
  <si>
    <t>reparation d'eclairage et changement des lampes</t>
  </si>
  <si>
    <t>changement des deux batterie 12V</t>
  </si>
  <si>
    <t>reparation du freinage et changement des garniture de frein des arret de graisse moyeu 
peinture general d'engin</t>
  </si>
  <si>
    <t>7071/7144</t>
  </si>
  <si>
    <t xml:space="preserve">reparation du probleme de refroidissement moteur et changement du courroie et tondeur </t>
  </si>
  <si>
    <t xml:space="preserve">reparation du probleme de suspension et d'eclairage </t>
  </si>
  <si>
    <t xml:space="preserve">vidange d'huile moteur et changement du filltre à huile et filtre à gasoil 
lavage et graissage general d'engin </t>
  </si>
  <si>
    <t xml:space="preserve">changement de tube de refroidissement 
reparation d'eclairage </t>
  </si>
  <si>
    <t xml:space="preserve">reparation d'eclairage et changement des lampes et feu de signal </t>
  </si>
  <si>
    <t xml:space="preserve">Reparation d'eclairage et changement des lampes 
reparation de freinage et changement des deux jeu de garniture de frein + arret de graisse 
reparation et changement des pieces de carrossrie 
</t>
  </si>
  <si>
    <t>moyeu de roue AR</t>
  </si>
  <si>
    <t xml:space="preserve">changement du kit reparation moyeu de roue arriere </t>
  </si>
  <si>
    <t xml:space="preserve">reparation du fuite d'eau et changement du pompe d'eau </t>
  </si>
  <si>
    <t xml:space="preserve">reparation du freinage et changement du pompe de frein </t>
  </si>
  <si>
    <t xml:space="preserve">rparation du frein plateau et changement des deux jeu garniture de frein </t>
  </si>
  <si>
    <t>reparation du fuite d'air et changement des tuyaux percés</t>
  </si>
  <si>
    <t xml:space="preserve">selection de vitesse </t>
  </si>
  <si>
    <t xml:space="preserve">changemnt du selecteur de vitesse </t>
  </si>
  <si>
    <t xml:space="preserve">changement d'attestation de charge batterie </t>
  </si>
  <si>
    <t>reparation du freinage et cahngementy de master frein</t>
  </si>
  <si>
    <t xml:space="preserve">changement de joint carter d'huile moteur </t>
  </si>
  <si>
    <t xml:space="preserve">reparation de probleme de demarrage et changement de batterie </t>
  </si>
  <si>
    <t xml:space="preserve">mise a nouveau  du moteur thermique et changement de chemise piston </t>
  </si>
  <si>
    <t xml:space="preserve">reparation du freinage et chngement du jeu de garniture frein + plaquettes frein </t>
  </si>
  <si>
    <t xml:space="preserve">reparation freinage et changement des deux jeu de garniture de frein </t>
  </si>
  <si>
    <t xml:space="preserve">changement de klaxon 12V </t>
  </si>
  <si>
    <t xml:space="preserve">vidange d'huile moteur et changement du filtre à huile et filtre à gasoil </t>
  </si>
  <si>
    <t xml:space="preserve">reparation du freinage te changement des cames reglage frein 
reparation des fuites d'air plateau </t>
  </si>
  <si>
    <t xml:space="preserve">reparation d'eclairage et changement des lampes et cataphotes </t>
  </si>
  <si>
    <t xml:space="preserve">vidange d'huile moteur 15W40 
lavage et graissage general d'engin </t>
  </si>
  <si>
    <t xml:space="preserve">injection AD blue </t>
  </si>
  <si>
    <t xml:space="preserve">reparation du prbleme d'injection adblue 
reparation du tube d'echappement et pot catalytique 
changement des goujoux du roue  </t>
  </si>
  <si>
    <t xml:space="preserve">reparation du probleme de demarrage moteur </t>
  </si>
  <si>
    <t xml:space="preserve">reparation du tondeur du courroie et changement de poulie </t>
  </si>
  <si>
    <t>reparation du probleme de demarrage et changement des bougis de préchauffage</t>
  </si>
  <si>
    <t xml:space="preserve">changement de deux batterie de demarrage 12V et reparation d'eclairage </t>
  </si>
  <si>
    <t xml:space="preserve">reparation du prbleme de demarrage moteur et changement du groupe d'amossage gasoil </t>
  </si>
  <si>
    <t>reparation du probleme de demarrage et changement du pompe a gasoil et filtre a gasoil</t>
  </si>
  <si>
    <t xml:space="preserve">vidange d'huile moteur 15W40 
changement des filtres a huile , gasoil et a air 
lavage et graissage generale d'engin </t>
  </si>
  <si>
    <t>reparation du freinage et changement du jeu de plaquette 
changement des deux pneu REF 315/80R22,5</t>
  </si>
  <si>
    <t>150/06/2024</t>
  </si>
  <si>
    <t xml:space="preserve">demarage moteur </t>
  </si>
  <si>
    <t xml:space="preserve">reparation du probleme demarrage moteur </t>
  </si>
  <si>
    <t xml:space="preserve">reparation du probleme de charge batterie et changement du charge batterie </t>
  </si>
  <si>
    <t xml:space="preserve">reparation du probleme de refroidissement moteur et changement du ventilateur </t>
  </si>
  <si>
    <t xml:space="preserve">reparation d'eclairage et changement des lampes 
changement du coupe courant </t>
  </si>
  <si>
    <t>changement des pneus REF 315/80R22,5</t>
  </si>
  <si>
    <t>reparation du probleme demarrage et changement des deux batterie REF G7</t>
  </si>
  <si>
    <t>8410/8414</t>
  </si>
  <si>
    <t xml:space="preserve">vidange d'huile moteur et changement du filtre à huile et filtre à gasoil 
changement du courroie d'alternateur 
lavage et graissage generale d'engin </t>
  </si>
  <si>
    <t xml:space="preserve">changement des batteries de demarrage 12V </t>
  </si>
  <si>
    <t xml:space="preserve">courroie de ventilateur </t>
  </si>
  <si>
    <t xml:space="preserve">changement du courroie f"entrainement ventilateur de refroidissement </t>
  </si>
  <si>
    <t xml:space="preserve">changement du manometre d'huile moteur </t>
  </si>
  <si>
    <t xml:space="preserve">entretien et fuite d'air </t>
  </si>
  <si>
    <t xml:space="preserve">reparation probleme de fuite d'air comprimé 
entretien et vidange d'huile moteur et changement du filtre à huile , gasoil et filtre à air + changement du jeu de balais + lavage et graissage general d'engin </t>
  </si>
  <si>
    <t xml:space="preserve">changement de kit d'embrayage complet et rolant moteur </t>
  </si>
  <si>
    <t xml:space="preserve">reparation du dermarreur et changement d'alternateur charge batterie </t>
  </si>
  <si>
    <t xml:space="preserve">vidange d'huile moteur 15W40 et changement filtre et filtre a huile a gasoil et filtre a air 
reparation d'eclairage 
</t>
  </si>
  <si>
    <t xml:space="preserve">vidange d'huile moteur et changement du filtre à huile , gasoil et filtre à air </t>
  </si>
  <si>
    <t xml:space="preserve">demrrage moteur </t>
  </si>
  <si>
    <t>changement de batterie 
changement des cosses batterie</t>
  </si>
  <si>
    <t>reparation probleme d'embrayage</t>
  </si>
  <si>
    <t xml:space="preserve">Pneu  </t>
  </si>
  <si>
    <t>changement des deux pneus REF 11R22,5</t>
  </si>
  <si>
    <t>changement des deux pneus REF 315/80R22,5</t>
  </si>
  <si>
    <t xml:space="preserve">reparation du freinage et changement du jeu de garniture de frein pour plateau </t>
  </si>
  <si>
    <t xml:space="preserve">vidange d'huile moteur 15W40 
changement des filtres a huile , gasoil et a filtre à air et hydraulique 
</t>
  </si>
  <si>
    <t>7883/7884</t>
  </si>
  <si>
    <t>changement du cervo d'embrayage 
reparation du fuile d'air comprimé</t>
  </si>
  <si>
    <t>changement des deux pneus REF 250/75R12</t>
  </si>
  <si>
    <t xml:space="preserve">fuite d'air de frein </t>
  </si>
  <si>
    <t xml:space="preserve">reparation d'appareille de frein 
elimination des fuites d'air comprimé 
reparation d'eclairage </t>
  </si>
  <si>
    <t>reparation du probleme de demarrage moteur et changement du coupe courant 24V</t>
  </si>
  <si>
    <t xml:space="preserve">reparation du freinage et changement jeu de machoire de frein cote AVD plateau </t>
  </si>
  <si>
    <t>changement des deux pneu ref 250-15</t>
  </si>
  <si>
    <t>reparation du probleme de demarrage moteur et changement du pompe d'alimentation gasoil</t>
  </si>
  <si>
    <t>changement des pneus</t>
  </si>
  <si>
    <t>changement des deux pnues REF 250-15</t>
  </si>
  <si>
    <t xml:space="preserve">reparation du probleme de demarrage et changement du pompe à gasoil </t>
  </si>
  <si>
    <t>fuite d'air compirmé</t>
  </si>
  <si>
    <t>reparation du fuite d'air comprime</t>
  </si>
  <si>
    <t>reparation d'eclairage et changement des lampes 
reparation du probleme de B.V</t>
  </si>
  <si>
    <t xml:space="preserve">Electrique </t>
  </si>
  <si>
    <t xml:space="preserve">reparation du probleme electrique d'eclairage </t>
  </si>
  <si>
    <t>(Plusieurs éléments)</t>
  </si>
  <si>
    <t xml:space="preserve">reparation d'elairage et changement des lampes </t>
  </si>
  <si>
    <t xml:space="preserve">reglage du jeu garniture frein </t>
  </si>
  <si>
    <t>changement du jeu de garniture de frein 
changement des arrets de graisse moyeu et goujou des roues AR 
montage du thermo contact avec indicateur temperature 
vidange d'huile moteur et huile BV</t>
  </si>
  <si>
    <t xml:space="preserve">changement du jeu de garniture de frein 
changement de moyeu du roue AR plateau 
reparation d'eclairage </t>
  </si>
  <si>
    <t xml:space="preserve">autres </t>
  </si>
  <si>
    <t xml:space="preserve">carroserie </t>
  </si>
  <si>
    <t xml:space="preserve">Changement du jeu de balai d'essuie glace 
</t>
  </si>
  <si>
    <t xml:space="preserve">reparation du probleme d'embrayage et changement de kit d'embrayage complet volont moteur </t>
  </si>
  <si>
    <t xml:space="preserve">vidange d'huile moteur 15W40 
reparation du probleme de freinage </t>
  </si>
  <si>
    <t>9830/9877</t>
  </si>
  <si>
    <t xml:space="preserve">reparation probleme du freinage et changement du jeu de garniture frein </t>
  </si>
  <si>
    <t xml:space="preserve">levage de grue </t>
  </si>
  <si>
    <t xml:space="preserve">changement de roulement de support grue de levage </t>
  </si>
  <si>
    <t xml:space="preserve">changement du ventilateur de refroidissement moteur </t>
  </si>
  <si>
    <t xml:space="preserve">changement des deux jeu de garniture de frein 
changement des jeu de machoir de frein </t>
  </si>
  <si>
    <t xml:space="preserve">changement d boite a vitesse </t>
  </si>
  <si>
    <t>reparation du jeu de garniture frein et reglage des came de frein 
changement du klaxon 24V</t>
  </si>
  <si>
    <t>vidange d'huille moteur 15W40</t>
  </si>
  <si>
    <t xml:space="preserve">vidange d'huile moteur 15W40
lavage et graissage general d'engin </t>
  </si>
  <si>
    <t>0140</t>
  </si>
  <si>
    <t>0165</t>
  </si>
  <si>
    <t>0166</t>
  </si>
  <si>
    <t>0168</t>
  </si>
  <si>
    <t xml:space="preserve">reparation du freinage et changement des deux jeu de garniture de frein </t>
  </si>
  <si>
    <t>0190</t>
  </si>
  <si>
    <t xml:space="preserve">reparation du fuite d'air de frein </t>
  </si>
  <si>
    <t>0191</t>
  </si>
  <si>
    <t>14//09/2024</t>
  </si>
  <si>
    <t>changement des deux pneus REF 12R22,5</t>
  </si>
  <si>
    <t xml:space="preserve">vidange d'huile moteurn 15W40 
lavage et graissage d'engin </t>
  </si>
  <si>
    <t>0194</t>
  </si>
  <si>
    <t xml:space="preserve">changement des deux batterie de demarrage </t>
  </si>
  <si>
    <t>0245</t>
  </si>
  <si>
    <t>0310</t>
  </si>
  <si>
    <t>0370</t>
  </si>
  <si>
    <t>changement du batterie REF L5</t>
  </si>
  <si>
    <t>0378</t>
  </si>
  <si>
    <t xml:space="preserve">changement d'arret d'huile boite a vitesse </t>
  </si>
  <si>
    <t>0434</t>
  </si>
  <si>
    <t xml:space="preserve">changement du batterie REF 12VG7 
reparation d'eclairage 
</t>
  </si>
  <si>
    <t>0435</t>
  </si>
  <si>
    <t xml:space="preserve">vidange d'huile moteur 15W40 et reparation du probleme de direction </t>
  </si>
  <si>
    <t>0615</t>
  </si>
  <si>
    <t>0537</t>
  </si>
  <si>
    <t>0535</t>
  </si>
  <si>
    <t>0631</t>
  </si>
  <si>
    <t xml:space="preserve">refroidissment moteur </t>
  </si>
  <si>
    <t xml:space="preserve">reparation du probleme de refroidissement et changer des courroie de ventilateur refroidissement </t>
  </si>
  <si>
    <t>0643</t>
  </si>
  <si>
    <t xml:space="preserve">changement du contact  de demarrage 12V 
reparation d'eclairage </t>
  </si>
  <si>
    <t>0644</t>
  </si>
  <si>
    <t>0728</t>
  </si>
  <si>
    <t xml:space="preserve">vidange d'huile moteur 15W40 
lavage et graisage general d'engin 
reparation fuite d'air </t>
  </si>
  <si>
    <t>0728/0756</t>
  </si>
  <si>
    <t>0758</t>
  </si>
  <si>
    <t xml:space="preserve">changement de batterie du demarrage </t>
  </si>
  <si>
    <t>0764</t>
  </si>
  <si>
    <t xml:space="preserve">fuite gaz d'echappement </t>
  </si>
  <si>
    <t xml:space="preserve">reparation du fixation du collecteur d'echapement </t>
  </si>
  <si>
    <t>0765</t>
  </si>
  <si>
    <t xml:space="preserve">reparation de freinage et changement d'essieu avant complet </t>
  </si>
  <si>
    <t>0852</t>
  </si>
  <si>
    <t xml:space="preserve">reparation de freinage et changement des deux jeu de garniture de frein </t>
  </si>
  <si>
    <t>0853</t>
  </si>
  <si>
    <t xml:space="preserve">changement des deux filtre a air interieure et exterieure </t>
  </si>
  <si>
    <t>0924</t>
  </si>
  <si>
    <t>changement de bride de serrage</t>
  </si>
  <si>
    <t>1014</t>
  </si>
  <si>
    <t xml:space="preserve">vidange d'huile moteur 15W40 et  changement du filtre a huile et filtre a gasoil , air 
lavage et graissage d'engin </t>
  </si>
  <si>
    <t>1144</t>
  </si>
  <si>
    <t>entretien et vidange d'huile moteur 15W40</t>
  </si>
  <si>
    <t>1157</t>
  </si>
  <si>
    <t xml:space="preserve">changement du pompe a eau 
changement du courroie </t>
  </si>
  <si>
    <t>1158</t>
  </si>
  <si>
    <t xml:space="preserve">changement des disques de frein AV et AR et deux jeu de garniture de frein et fiche d'usure plaquette </t>
  </si>
  <si>
    <t xml:space="preserve">entretien  </t>
  </si>
  <si>
    <t>vidage d'huile moteur 15W40</t>
  </si>
  <si>
    <t>1186</t>
  </si>
  <si>
    <t>1222</t>
  </si>
  <si>
    <t>2072</t>
  </si>
  <si>
    <t>2078</t>
  </si>
  <si>
    <t>vidange d'huile moteur 15W40 
changement des filtre a huile , gasoil et filtre à air 
lavage et graissage generale d'engin</t>
  </si>
  <si>
    <t>1290</t>
  </si>
  <si>
    <t xml:space="preserve">changement d'indicateur de temperature moteur avec thermocontact </t>
  </si>
  <si>
    <t xml:space="preserve">changement du venteuse de frein 
changement arret d'huile pont arriere 
reparation de fuite d'air </t>
  </si>
  <si>
    <t xml:space="preserve">changement du demarreur 12V </t>
  </si>
  <si>
    <t>1345</t>
  </si>
  <si>
    <t>changement du pompe d'amorssage</t>
  </si>
  <si>
    <t>1346</t>
  </si>
  <si>
    <t>1414</t>
  </si>
  <si>
    <t>changement du contact de demarrage 12V</t>
  </si>
  <si>
    <t>1505</t>
  </si>
  <si>
    <t xml:space="preserve">changement du kit d'embrayage compet 
changement du pompe d'embrayage superieure </t>
  </si>
  <si>
    <t>1561/1626</t>
  </si>
  <si>
    <t>changement des pneu REF 205/75R17,5</t>
  </si>
  <si>
    <t>1764</t>
  </si>
  <si>
    <t>Colonne1</t>
  </si>
  <si>
    <t>Colonne2</t>
  </si>
  <si>
    <t>Colonne3</t>
  </si>
  <si>
    <t>Colonne4</t>
  </si>
  <si>
    <t>Colonne5</t>
  </si>
  <si>
    <t>Colonne6</t>
  </si>
</sst>
</file>

<file path=xl/styles.xml><?xml version="1.0" encoding="utf-8"?>
<styleSheet xmlns="http://schemas.openxmlformats.org/spreadsheetml/2006/main">
  <numFmts count="5">
    <numFmt numFmtId="8" formatCode="#,##0.00\ &quot;DH&quot;;[Red]\-#,##0.00\ &quot;DH&quot;"/>
    <numFmt numFmtId="43" formatCode="_-* #,##0.00\ _D_H_-;\-* #,##0.00\ _D_H_-;_-* &quot;-&quot;??\ _D_H_-;_-@_-"/>
    <numFmt numFmtId="164" formatCode="[$-F400]h:mm:ss\ AM/PM"/>
    <numFmt numFmtId="165" formatCode="h:mm;@"/>
    <numFmt numFmtId="166" formatCode="_-* #,##0\ _D_H_-;\-* #,##0\ _D_H_-;_-* &quot;-&quot;??\ _D_H_-;_-@_-"/>
  </numFmts>
  <fonts count="39">
    <font>
      <sz val="11"/>
      <color theme="1"/>
      <name val="Calibri"/>
      <family val="2"/>
      <scheme val="minor"/>
    </font>
    <font>
      <sz val="14"/>
      <color theme="1"/>
      <name val="Calibri"/>
      <family val="2"/>
      <scheme val="minor"/>
    </font>
    <font>
      <b/>
      <sz val="11"/>
      <color theme="0"/>
      <name val="Arial"/>
      <family val="2"/>
    </font>
    <font>
      <sz val="11"/>
      <color rgb="FF000000"/>
      <name val="Arial"/>
      <family val="2"/>
    </font>
    <font>
      <sz val="11"/>
      <color theme="1"/>
      <name val="Calibri"/>
      <family val="2"/>
      <scheme val="minor"/>
    </font>
    <font>
      <b/>
      <sz val="16"/>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sz val="12"/>
      <color theme="0"/>
      <name val="Arial"/>
      <family val="2"/>
    </font>
    <font>
      <sz val="12"/>
      <color rgb="FF000000"/>
      <name val="Arial"/>
      <family val="2"/>
    </font>
    <font>
      <sz val="12"/>
      <color theme="1"/>
      <name val="Arial"/>
      <family val="2"/>
    </font>
    <font>
      <b/>
      <sz val="11"/>
      <color theme="0"/>
      <name val="Calibri"/>
      <family val="2"/>
      <scheme val="minor"/>
    </font>
    <font>
      <sz val="18"/>
      <color theme="1"/>
      <name val="Calibri"/>
      <family val="2"/>
      <scheme val="minor"/>
    </font>
    <font>
      <sz val="11"/>
      <color theme="1"/>
      <name val="Calibri"/>
      <family val="2"/>
      <scheme val="minor"/>
    </font>
    <font>
      <sz val="14"/>
      <color theme="1"/>
      <name val="Calibri"/>
      <family val="2"/>
      <scheme val="minor"/>
    </font>
    <font>
      <b/>
      <sz val="18"/>
      <color theme="1"/>
      <name val="Calibri"/>
      <family val="2"/>
      <scheme val="minor"/>
    </font>
    <font>
      <sz val="14"/>
      <name val="Arial"/>
      <family val="2"/>
    </font>
    <font>
      <sz val="11"/>
      <color rgb="FF92D050"/>
      <name val="Calibri"/>
      <family val="2"/>
      <scheme val="minor"/>
    </font>
    <font>
      <b/>
      <sz val="10"/>
      <color theme="1"/>
      <name val="Arial"/>
      <family val="2"/>
    </font>
    <font>
      <sz val="12"/>
      <color rgb="FF000000"/>
      <name val="Arial"/>
      <family val="2"/>
    </font>
    <font>
      <sz val="16"/>
      <color theme="1"/>
      <name val="Calibri"/>
      <family val="2"/>
      <scheme val="minor"/>
    </font>
    <font>
      <sz val="11"/>
      <color theme="1"/>
      <name val="Calibri"/>
      <family val="2"/>
      <scheme val="minor"/>
    </font>
    <font>
      <sz val="12"/>
      <color rgb="FF00B050"/>
      <name val="Calibri"/>
      <family val="2"/>
      <scheme val="minor"/>
    </font>
    <font>
      <sz val="12"/>
      <color rgb="FF92D050"/>
      <name val="Calibri"/>
      <family val="2"/>
      <scheme val="minor"/>
    </font>
    <font>
      <b/>
      <sz val="12"/>
      <color theme="1"/>
      <name val="Arial"/>
      <family val="2"/>
    </font>
    <font>
      <sz val="12"/>
      <color rgb="FF000000"/>
      <name val="Arial"/>
      <family val="2"/>
    </font>
    <font>
      <sz val="10"/>
      <name val="Times New Roman"/>
      <family val="1"/>
    </font>
    <font>
      <sz val="8"/>
      <name val="Calibri"/>
      <family val="2"/>
      <scheme val="minor"/>
    </font>
    <font>
      <sz val="12"/>
      <name val="Times New Roman"/>
      <family val="1"/>
    </font>
    <font>
      <sz val="11"/>
      <color theme="1"/>
      <name val="Arial"/>
      <family val="2"/>
    </font>
    <font>
      <sz val="12"/>
      <color rgb="FF000000"/>
      <name val="Arial"/>
      <family val="2"/>
    </font>
    <font>
      <sz val="12"/>
      <color rgb="FFFF0000"/>
      <name val="Arial"/>
      <family val="2"/>
    </font>
    <font>
      <sz val="12"/>
      <color rgb="FF000000"/>
      <name val="Arial"/>
      <family val="2"/>
    </font>
    <font>
      <sz val="12"/>
      <color rgb="FF002060"/>
      <name val="Arial"/>
      <family val="2"/>
    </font>
    <font>
      <sz val="12"/>
      <name val="Arial"/>
      <family val="2"/>
    </font>
    <font>
      <sz val="12"/>
      <name val="Calibri"/>
      <family val="2"/>
      <scheme val="minor"/>
    </font>
    <font>
      <sz val="11"/>
      <name val="Calibri"/>
      <family val="2"/>
      <scheme val="minor"/>
    </font>
  </fonts>
  <fills count="25">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indexed="9"/>
        <bgColor indexed="64"/>
      </patternFill>
    </fill>
    <fill>
      <patternFill patternType="solid">
        <fgColor theme="1" tint="0.249977111117893"/>
        <bgColor indexed="64"/>
      </patternFill>
    </fill>
    <fill>
      <patternFill patternType="solid">
        <fgColor rgb="FF92D050"/>
        <bgColor indexed="64"/>
      </patternFill>
    </fill>
    <fill>
      <patternFill patternType="solid">
        <fgColor theme="1" tint="0.14999847407452621"/>
        <bgColor indexed="64"/>
      </patternFill>
    </fill>
    <fill>
      <patternFill patternType="solid">
        <fgColor theme="4" tint="0.59999389629810485"/>
        <bgColor indexed="65"/>
      </patternFill>
    </fill>
    <fill>
      <patternFill patternType="solid">
        <fgColor theme="0"/>
        <bgColor indexed="64"/>
      </patternFill>
    </fill>
    <fill>
      <patternFill patternType="solid">
        <fgColor theme="2"/>
        <bgColor indexed="64"/>
      </patternFill>
    </fill>
    <fill>
      <patternFill patternType="solid">
        <fgColor rgb="FFFF0000"/>
        <bgColor indexed="64"/>
      </patternFill>
    </fill>
    <fill>
      <patternFill patternType="solid">
        <fgColor theme="9"/>
        <bgColor indexed="64"/>
      </patternFill>
    </fill>
  </fills>
  <borders count="3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bottom style="medium">
        <color theme="1"/>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style="medium">
        <color indexed="64"/>
      </bottom>
      <diagonal/>
    </border>
    <border>
      <left style="thin">
        <color theme="4" tint="0.39997558519241921"/>
      </left>
      <right/>
      <top style="thin">
        <color theme="4" tint="0.39997558519241921"/>
      </top>
      <bottom style="thin">
        <color theme="4" tint="0.39997558519241921"/>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4">
    <xf numFmtId="0" fontId="0" fillId="0" borderId="0"/>
    <xf numFmtId="43" fontId="4" fillId="0" borderId="0" applyFont="0" applyFill="0" applyBorder="0" applyAlignment="0" applyProtection="0"/>
    <xf numFmtId="9" fontId="4" fillId="0" borderId="0" applyFont="0" applyFill="0" applyBorder="0" applyAlignment="0" applyProtection="0"/>
    <xf numFmtId="0" fontId="4" fillId="20" borderId="0" applyNumberFormat="0" applyBorder="0" applyAlignment="0" applyProtection="0"/>
  </cellStyleXfs>
  <cellXfs count="295">
    <xf numFmtId="0" fontId="0" fillId="0" borderId="0" xfId="0"/>
    <xf numFmtId="0" fontId="2" fillId="0" borderId="4" xfId="0" applyFont="1" applyBorder="1" applyAlignment="1">
      <alignment horizontal="left" vertical="center" shrinkToFit="1"/>
    </xf>
    <xf numFmtId="0" fontId="2" fillId="0" borderId="5" xfId="0" applyFont="1" applyBorder="1" applyAlignment="1">
      <alignment horizontal="left" vertical="center" shrinkToFit="1"/>
    </xf>
    <xf numFmtId="0" fontId="2" fillId="0" borderId="6" xfId="0" applyFont="1" applyBorder="1" applyAlignment="1">
      <alignment horizontal="left" vertical="center" shrinkToFit="1"/>
    </xf>
    <xf numFmtId="0" fontId="0" fillId="0" borderId="0" xfId="0" applyAlignment="1">
      <alignment shrinkToFit="1"/>
    </xf>
    <xf numFmtId="14" fontId="3" fillId="0" borderId="2" xfId="0" applyNumberFormat="1" applyFont="1" applyBorder="1" applyAlignment="1">
      <alignment vertical="center" shrinkToFit="1"/>
    </xf>
    <xf numFmtId="0" fontId="3" fillId="0" borderId="1" xfId="0" applyFont="1" applyBorder="1" applyAlignment="1">
      <alignment vertical="center" shrinkToFit="1"/>
    </xf>
    <xf numFmtId="0" fontId="3" fillId="0" borderId="3" xfId="0" applyFont="1" applyBorder="1" applyAlignment="1">
      <alignment vertical="center" shrinkToFit="1"/>
    </xf>
    <xf numFmtId="0" fontId="3" fillId="0" borderId="1" xfId="0" applyFont="1" applyBorder="1" applyAlignment="1">
      <alignment horizontal="left" vertical="center" shrinkToFit="1"/>
    </xf>
    <xf numFmtId="0" fontId="3" fillId="0" borderId="1" xfId="0" applyFont="1" applyBorder="1" applyAlignment="1">
      <alignment horizontal="right" vertical="center" shrinkToFit="1"/>
    </xf>
    <xf numFmtId="0" fontId="3" fillId="3" borderId="1" xfId="0" applyFont="1" applyFill="1" applyBorder="1" applyAlignment="1">
      <alignment vertical="center" shrinkToFit="1"/>
    </xf>
    <xf numFmtId="14" fontId="3" fillId="0" borderId="7" xfId="0" applyNumberFormat="1" applyFont="1" applyBorder="1" applyAlignment="1">
      <alignment vertical="center" shrinkToFit="1"/>
    </xf>
    <xf numFmtId="0" fontId="3" fillId="0" borderId="8" xfId="0" applyFont="1" applyBorder="1" applyAlignment="1">
      <alignment vertical="center" shrinkToFit="1"/>
    </xf>
    <xf numFmtId="0" fontId="3" fillId="0" borderId="9" xfId="0" applyFont="1" applyBorder="1" applyAlignment="1">
      <alignment vertical="center" shrinkToFit="1"/>
    </xf>
    <xf numFmtId="164" fontId="3" fillId="0" borderId="3" xfId="0" applyNumberFormat="1" applyFont="1" applyBorder="1" applyAlignment="1">
      <alignment vertical="center" shrinkToFit="1"/>
    </xf>
    <xf numFmtId="164" fontId="3" fillId="0" borderId="3" xfId="0" applyNumberFormat="1" applyFont="1" applyBorder="1" applyAlignment="1">
      <alignment horizontal="left" vertical="center" shrinkToFit="1"/>
    </xf>
    <xf numFmtId="164" fontId="3" fillId="0" borderId="9" xfId="0" applyNumberFormat="1" applyFont="1" applyBorder="1" applyAlignment="1">
      <alignment vertical="center" shrinkToFit="1"/>
    </xf>
    <xf numFmtId="0" fontId="3" fillId="2" borderId="9" xfId="0" applyFont="1" applyFill="1" applyBorder="1" applyAlignment="1">
      <alignment vertical="center" shrinkToFit="1"/>
    </xf>
    <xf numFmtId="0" fontId="3" fillId="2" borderId="3" xfId="0" applyFont="1" applyFill="1" applyBorder="1" applyAlignment="1">
      <alignment vertical="center" shrinkToFit="1"/>
    </xf>
    <xf numFmtId="165" fontId="3" fillId="0" borderId="9" xfId="0" applyNumberFormat="1" applyFont="1" applyBorder="1" applyAlignment="1">
      <alignment vertical="center" shrinkToFit="1"/>
    </xf>
    <xf numFmtId="0" fontId="3" fillId="0" borderId="0" xfId="0" applyFont="1" applyAlignment="1">
      <alignment vertical="center"/>
    </xf>
    <xf numFmtId="0" fontId="0" fillId="0" borderId="0" xfId="0" pivotButton="1"/>
    <xf numFmtId="0" fontId="0" fillId="0" borderId="0" xfId="0" applyAlignment="1">
      <alignment horizontal="left"/>
    </xf>
    <xf numFmtId="0" fontId="5" fillId="4" borderId="0" xfId="0" applyFont="1" applyFill="1"/>
    <xf numFmtId="14" fontId="0" fillId="0" borderId="0" xfId="0" applyNumberFormat="1" applyAlignment="1">
      <alignment horizontal="left" indent="1"/>
    </xf>
    <xf numFmtId="0" fontId="0" fillId="0" borderId="0" xfId="0" applyAlignment="1">
      <alignment vertical="center" shrinkToFit="1"/>
    </xf>
    <xf numFmtId="0" fontId="6" fillId="0" borderId="0" xfId="0" applyFont="1"/>
    <xf numFmtId="0" fontId="6"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7" fillId="6" borderId="11" xfId="0" applyFont="1" applyFill="1" applyBorder="1"/>
    <xf numFmtId="0" fontId="7" fillId="6" borderId="0" xfId="0" applyFont="1" applyFill="1"/>
    <xf numFmtId="0" fontId="10" fillId="0" borderId="0" xfId="0" applyFont="1" applyAlignment="1">
      <alignment horizontal="center" vertical="center" wrapText="1"/>
    </xf>
    <xf numFmtId="14" fontId="10" fillId="0" borderId="0" xfId="0" applyNumberFormat="1" applyFont="1" applyAlignment="1">
      <alignment horizontal="center" vertical="center" wrapText="1"/>
    </xf>
    <xf numFmtId="0" fontId="8" fillId="0" borderId="0" xfId="0" applyFont="1" applyAlignment="1">
      <alignment vertical="center" shrinkToFit="1"/>
    </xf>
    <xf numFmtId="14" fontId="11" fillId="0" borderId="0" xfId="0" applyNumberFormat="1" applyFont="1" applyAlignment="1">
      <alignment horizontal="center" vertical="center" wrapText="1" shrinkToFit="1"/>
    </xf>
    <xf numFmtId="0" fontId="11" fillId="0" borderId="0" xfId="0" applyFont="1" applyAlignment="1">
      <alignment horizontal="center" vertical="center" wrapText="1"/>
    </xf>
    <xf numFmtId="0" fontId="11" fillId="0" borderId="0" xfId="0" applyFont="1" applyAlignment="1">
      <alignment horizontal="left" vertical="center" wrapText="1"/>
    </xf>
    <xf numFmtId="0" fontId="11" fillId="0" borderId="0" xfId="0" applyFont="1" applyAlignment="1">
      <alignment vertical="center" wrapText="1"/>
    </xf>
    <xf numFmtId="14" fontId="11" fillId="0" borderId="0" xfId="0" applyNumberFormat="1" applyFont="1" applyAlignment="1">
      <alignment vertical="center" wrapText="1"/>
    </xf>
    <xf numFmtId="166" fontId="11" fillId="0" borderId="0" xfId="1" applyNumberFormat="1" applyFont="1" applyFill="1" applyBorder="1" applyAlignment="1">
      <alignment horizontal="center" vertical="center" wrapText="1"/>
    </xf>
    <xf numFmtId="14" fontId="11" fillId="0" borderId="0" xfId="0" applyNumberFormat="1" applyFont="1" applyAlignment="1">
      <alignment horizontal="center" vertical="center" wrapText="1"/>
    </xf>
    <xf numFmtId="14" fontId="11" fillId="0" borderId="0" xfId="0" applyNumberFormat="1" applyFont="1" applyAlignment="1">
      <alignment horizontal="left" vertical="center" wrapText="1" shrinkToFit="1"/>
    </xf>
    <xf numFmtId="14" fontId="11" fillId="0" borderId="0" xfId="0" applyNumberFormat="1" applyFont="1" applyAlignment="1">
      <alignment vertical="center" wrapText="1" shrinkToFit="1"/>
    </xf>
    <xf numFmtId="0" fontId="8" fillId="0" borderId="0" xfId="0" applyFont="1" applyAlignment="1">
      <alignment shrinkToFit="1"/>
    </xf>
    <xf numFmtId="166" fontId="11" fillId="0" borderId="0" xfId="1" applyNumberFormat="1" applyFont="1" applyFill="1" applyBorder="1" applyAlignment="1">
      <alignment vertical="center" wrapText="1"/>
    </xf>
    <xf numFmtId="14" fontId="12" fillId="0" borderId="0" xfId="0" applyNumberFormat="1" applyFont="1" applyAlignment="1">
      <alignment horizontal="center" vertical="center" wrapText="1"/>
    </xf>
    <xf numFmtId="0" fontId="12" fillId="0" borderId="0" xfId="0" applyFont="1" applyAlignment="1">
      <alignment horizontal="center" wrapText="1"/>
    </xf>
    <xf numFmtId="0" fontId="12" fillId="0" borderId="0" xfId="0" applyFont="1" applyAlignment="1">
      <alignment wrapText="1"/>
    </xf>
    <xf numFmtId="0" fontId="12" fillId="0" borderId="0" xfId="0" applyFont="1" applyAlignment="1">
      <alignment horizontal="center" vertical="center" wrapText="1"/>
    </xf>
    <xf numFmtId="16" fontId="11" fillId="0" borderId="0" xfId="0" applyNumberFormat="1" applyFont="1" applyAlignment="1">
      <alignment horizontal="center" vertical="center" wrapText="1"/>
    </xf>
    <xf numFmtId="166" fontId="11" fillId="0" borderId="0" xfId="1" applyNumberFormat="1" applyFont="1" applyFill="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4" fontId="11" fillId="0" borderId="0" xfId="0" applyNumberFormat="1" applyFont="1" applyAlignment="1">
      <alignment horizontal="center" vertical="center" shrinkToFit="1"/>
    </xf>
    <xf numFmtId="0" fontId="11" fillId="0" borderId="0" xfId="0" applyFont="1" applyAlignment="1">
      <alignment horizontal="left" vertical="center"/>
    </xf>
    <xf numFmtId="14" fontId="11" fillId="0" borderId="0" xfId="0" applyNumberFormat="1" applyFont="1" applyAlignment="1">
      <alignment vertical="center"/>
    </xf>
    <xf numFmtId="166" fontId="11" fillId="0" borderId="0" xfId="1" applyNumberFormat="1" applyFont="1" applyFill="1" applyAlignment="1">
      <alignment horizontal="center" vertical="center"/>
    </xf>
    <xf numFmtId="0" fontId="8" fillId="0" borderId="0" xfId="0" applyFont="1" applyAlignment="1">
      <alignment horizontal="center" shrinkToFit="1"/>
    </xf>
    <xf numFmtId="0" fontId="8" fillId="0" borderId="0" xfId="0" applyFont="1" applyAlignment="1">
      <alignment horizontal="center" vertical="center" shrinkToFit="1"/>
    </xf>
    <xf numFmtId="0" fontId="8" fillId="0" borderId="0" xfId="0" applyFont="1" applyAlignment="1">
      <alignment horizontal="left" vertical="center" shrinkToFit="1"/>
    </xf>
    <xf numFmtId="14" fontId="11" fillId="0" borderId="0" xfId="0" applyNumberFormat="1" applyFont="1" applyAlignment="1">
      <alignment horizontal="left" vertical="center" wrapText="1"/>
    </xf>
    <xf numFmtId="0" fontId="13" fillId="0" borderId="10" xfId="0" applyFont="1" applyBorder="1"/>
    <xf numFmtId="4" fontId="0" fillId="0" borderId="0" xfId="0" applyNumberFormat="1" applyAlignment="1">
      <alignment horizontal="center" vertical="center"/>
    </xf>
    <xf numFmtId="3" fontId="0" fillId="0" borderId="0" xfId="0" applyNumberFormat="1" applyAlignment="1">
      <alignment horizontal="center" vertical="center"/>
    </xf>
    <xf numFmtId="0" fontId="0" fillId="7" borderId="0" xfId="0" applyFill="1"/>
    <xf numFmtId="0" fontId="0" fillId="8" borderId="0" xfId="0" applyFill="1"/>
    <xf numFmtId="0" fontId="0" fillId="5" borderId="0" xfId="0" applyFill="1"/>
    <xf numFmtId="0" fontId="0" fillId="0" borderId="0" xfId="0" pivotButton="1" applyAlignment="1">
      <alignment wrapText="1"/>
    </xf>
    <xf numFmtId="14" fontId="0" fillId="0" borderId="0" xfId="0" applyNumberFormat="1" applyAlignment="1">
      <alignment horizontal="left" wrapText="1"/>
    </xf>
    <xf numFmtId="0" fontId="0" fillId="0" borderId="0" xfId="0" applyAlignment="1">
      <alignment horizontal="left" wrapText="1"/>
    </xf>
    <xf numFmtId="0" fontId="0" fillId="0" borderId="0" xfId="0" applyAlignment="1">
      <alignment wrapText="1"/>
    </xf>
    <xf numFmtId="14" fontId="0" fillId="0" borderId="0" xfId="0" applyNumberFormat="1" applyAlignment="1">
      <alignment horizontal="left" vertical="center" wrapText="1"/>
    </xf>
    <xf numFmtId="0" fontId="0" fillId="0" borderId="0" xfId="0" applyAlignment="1">
      <alignment horizontal="left" vertical="center" wrapText="1"/>
    </xf>
    <xf numFmtId="0" fontId="0" fillId="0" borderId="0" xfId="0" applyAlignment="1">
      <alignment vertical="center"/>
    </xf>
    <xf numFmtId="0" fontId="14" fillId="0" borderId="0" xfId="0" applyFont="1" applyAlignment="1">
      <alignment shrinkToFit="1"/>
    </xf>
    <xf numFmtId="0" fontId="15" fillId="0" borderId="0" xfId="0" applyFont="1" applyAlignment="1">
      <alignment horizontal="center" vertical="center"/>
    </xf>
    <xf numFmtId="0" fontId="0" fillId="9" borderId="0" xfId="0" applyFill="1"/>
    <xf numFmtId="0" fontId="16" fillId="0" borderId="0" xfId="0" applyFont="1" applyAlignment="1">
      <alignment horizontal="center" vertical="center"/>
    </xf>
    <xf numFmtId="14" fontId="16" fillId="0" borderId="0" xfId="0" applyNumberFormat="1" applyFont="1" applyAlignment="1">
      <alignment horizontal="center" vertical="center"/>
    </xf>
    <xf numFmtId="0" fontId="16" fillId="0" borderId="0" xfId="0" applyFont="1" applyAlignment="1">
      <alignment horizontal="center" vertical="center" wrapText="1"/>
    </xf>
    <xf numFmtId="0" fontId="17" fillId="0" borderId="0" xfId="0" applyFont="1" applyAlignment="1">
      <alignment horizontal="center" vertical="center"/>
    </xf>
    <xf numFmtId="0" fontId="18" fillId="16" borderId="0" xfId="0" applyFont="1" applyFill="1" applyAlignment="1">
      <alignment horizontal="left" vertical="center"/>
    </xf>
    <xf numFmtId="0" fontId="0" fillId="0" borderId="12" xfId="0" applyBorder="1" applyAlignment="1">
      <alignment horizontal="center"/>
    </xf>
    <xf numFmtId="0" fontId="0" fillId="0" borderId="12" xfId="0" applyBorder="1"/>
    <xf numFmtId="0" fontId="0" fillId="17" borderId="0" xfId="0" applyFill="1"/>
    <xf numFmtId="0" fontId="7" fillId="0" borderId="0" xfId="0" applyFont="1" applyAlignment="1">
      <alignment horizontal="center"/>
    </xf>
    <xf numFmtId="0" fontId="19" fillId="18" borderId="12" xfId="0" applyFont="1" applyFill="1" applyBorder="1"/>
    <xf numFmtId="14" fontId="0" fillId="0" borderId="12" xfId="0" applyNumberFormat="1" applyBorder="1" applyAlignment="1">
      <alignment horizontal="center"/>
    </xf>
    <xf numFmtId="0" fontId="20" fillId="0" borderId="0" xfId="0" applyFont="1"/>
    <xf numFmtId="0" fontId="11" fillId="2" borderId="0" xfId="0" applyFont="1" applyFill="1" applyAlignment="1">
      <alignment horizontal="center" vertical="center" wrapText="1"/>
    </xf>
    <xf numFmtId="14" fontId="21" fillId="0" borderId="0" xfId="0" applyNumberFormat="1" applyFont="1" applyAlignment="1">
      <alignment horizontal="center" vertical="center" wrapText="1" shrinkToFit="1"/>
    </xf>
    <xf numFmtId="0" fontId="21" fillId="0" borderId="0" xfId="0" applyFont="1" applyAlignment="1">
      <alignment horizontal="center" vertical="center" wrapText="1"/>
    </xf>
    <xf numFmtId="0" fontId="21" fillId="0" borderId="0" xfId="0" applyFont="1" applyAlignment="1">
      <alignment horizontal="left" vertical="center" wrapText="1"/>
    </xf>
    <xf numFmtId="0" fontId="21" fillId="0" borderId="0" xfId="0" applyFont="1" applyAlignment="1">
      <alignment vertical="center" wrapText="1"/>
    </xf>
    <xf numFmtId="14" fontId="21" fillId="0" borderId="0" xfId="0" applyNumberFormat="1" applyFont="1" applyAlignment="1">
      <alignment vertical="center" wrapText="1"/>
    </xf>
    <xf numFmtId="166" fontId="21" fillId="0" borderId="0" xfId="1" applyNumberFormat="1" applyFont="1" applyFill="1" applyBorder="1" applyAlignment="1">
      <alignment horizontal="center" vertical="center" wrapText="1"/>
    </xf>
    <xf numFmtId="14" fontId="21" fillId="0" borderId="0" xfId="0" applyNumberFormat="1" applyFont="1" applyAlignment="1">
      <alignment horizontal="center" vertical="center" wrapText="1"/>
    </xf>
    <xf numFmtId="166" fontId="21" fillId="0" borderId="0" xfId="1" applyNumberFormat="1" applyFont="1" applyFill="1" applyBorder="1" applyAlignment="1">
      <alignment vertical="center" wrapText="1"/>
    </xf>
    <xf numFmtId="0" fontId="22" fillId="0" borderId="0" xfId="0" applyFont="1"/>
    <xf numFmtId="0" fontId="23" fillId="0" borderId="0" xfId="0" applyFont="1" applyAlignment="1">
      <alignment horizontal="center" vertical="center"/>
    </xf>
    <xf numFmtId="0" fontId="8" fillId="0" borderId="12" xfId="0" applyFont="1" applyBorder="1" applyAlignment="1">
      <alignment horizontal="center"/>
    </xf>
    <xf numFmtId="0" fontId="8" fillId="0" borderId="0" xfId="0" applyFont="1"/>
    <xf numFmtId="0" fontId="8" fillId="0" borderId="0" xfId="0" applyFont="1" applyAlignment="1">
      <alignment horizontal="center" vertical="center"/>
    </xf>
    <xf numFmtId="0" fontId="9" fillId="0" borderId="0" xfId="0" applyFont="1" applyAlignment="1">
      <alignment horizontal="center" vertical="center"/>
    </xf>
    <xf numFmtId="0" fontId="9" fillId="0" borderId="12" xfId="0" applyFont="1" applyBorder="1"/>
    <xf numFmtId="0" fontId="24" fillId="0" borderId="0" xfId="0" applyFont="1"/>
    <xf numFmtId="0" fontId="8" fillId="0" borderId="12" xfId="0" applyFont="1" applyBorder="1"/>
    <xf numFmtId="0" fontId="9" fillId="0" borderId="0" xfId="0" applyFont="1" applyAlignment="1">
      <alignment horizontal="center"/>
    </xf>
    <xf numFmtId="0" fontId="25" fillId="18" borderId="12" xfId="0" applyFont="1" applyFill="1" applyBorder="1"/>
    <xf numFmtId="14" fontId="8" fillId="0" borderId="12" xfId="0" applyNumberFormat="1" applyFont="1" applyBorder="1" applyAlignment="1">
      <alignment horizontal="center"/>
    </xf>
    <xf numFmtId="0" fontId="8" fillId="17" borderId="0" xfId="0" applyFont="1" applyFill="1"/>
    <xf numFmtId="0" fontId="26" fillId="0" borderId="0" xfId="0" applyFont="1"/>
    <xf numFmtId="0" fontId="26" fillId="0" borderId="0" xfId="0" applyFont="1" applyAlignment="1">
      <alignment vertical="center"/>
    </xf>
    <xf numFmtId="14" fontId="11" fillId="2" borderId="0" xfId="0" applyNumberFormat="1" applyFont="1" applyFill="1" applyAlignment="1">
      <alignment vertical="center" wrapText="1"/>
    </xf>
    <xf numFmtId="14" fontId="27" fillId="0" borderId="0" xfId="0" applyNumberFormat="1" applyFont="1" applyAlignment="1">
      <alignment horizontal="center" vertical="center" wrapText="1" shrinkToFit="1"/>
    </xf>
    <xf numFmtId="0" fontId="27" fillId="0" borderId="0" xfId="0" applyFont="1" applyAlignment="1">
      <alignment horizontal="center" vertical="center" wrapText="1"/>
    </xf>
    <xf numFmtId="0" fontId="27" fillId="0" borderId="0" xfId="0" applyFont="1" applyAlignment="1">
      <alignment horizontal="left" vertical="center" wrapText="1"/>
    </xf>
    <xf numFmtId="0" fontId="27" fillId="0" borderId="0" xfId="0" applyFont="1" applyAlignment="1">
      <alignment vertical="center" wrapText="1"/>
    </xf>
    <xf numFmtId="14" fontId="27" fillId="0" borderId="0" xfId="0" applyNumberFormat="1" applyFont="1" applyAlignment="1">
      <alignment vertical="center" wrapText="1"/>
    </xf>
    <xf numFmtId="166" fontId="27" fillId="0" borderId="0" xfId="1" applyNumberFormat="1" applyFont="1" applyFill="1" applyAlignment="1">
      <alignment horizontal="center" vertical="center" wrapText="1"/>
    </xf>
    <xf numFmtId="166" fontId="27" fillId="0" borderId="0" xfId="1" applyNumberFormat="1" applyFont="1" applyFill="1" applyAlignment="1">
      <alignment vertical="center" wrapText="1"/>
    </xf>
    <xf numFmtId="14" fontId="27" fillId="0" borderId="0" xfId="0" applyNumberFormat="1"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14" fontId="16" fillId="0" borderId="0" xfId="0" applyNumberFormat="1" applyFont="1" applyAlignment="1">
      <alignment horizontal="center" vertical="center" wrapText="1"/>
    </xf>
    <xf numFmtId="0" fontId="16" fillId="0" borderId="0" xfId="2" applyNumberFormat="1" applyFont="1" applyAlignment="1">
      <alignment horizontal="center" vertical="center"/>
    </xf>
    <xf numFmtId="0" fontId="1" fillId="6" borderId="20" xfId="0" applyFont="1" applyFill="1" applyBorder="1" applyAlignment="1">
      <alignment horizontal="center" vertical="center"/>
    </xf>
    <xf numFmtId="0" fontId="1" fillId="0" borderId="20" xfId="0" applyFont="1" applyBorder="1" applyAlignment="1">
      <alignment horizontal="center" vertical="center"/>
    </xf>
    <xf numFmtId="0" fontId="9" fillId="0" borderId="1" xfId="0" applyFont="1" applyBorder="1" applyAlignment="1">
      <alignment horizontal="center" vertical="center"/>
    </xf>
    <xf numFmtId="14" fontId="1" fillId="0" borderId="0" xfId="0" applyNumberFormat="1" applyFont="1" applyAlignment="1">
      <alignment horizontal="center" vertical="center"/>
    </xf>
    <xf numFmtId="0" fontId="20" fillId="0" borderId="0" xfId="0" applyFont="1" applyAlignment="1">
      <alignment horizontal="center" vertical="center" wrapText="1"/>
    </xf>
    <xf numFmtId="20" fontId="20" fillId="0" borderId="0" xfId="0" applyNumberFormat="1" applyFont="1" applyAlignment="1">
      <alignment horizontal="center" vertical="center" wrapText="1"/>
    </xf>
    <xf numFmtId="20" fontId="20" fillId="0" borderId="24" xfId="0" applyNumberFormat="1" applyFont="1" applyBorder="1" applyAlignment="1">
      <alignment horizontal="center" vertical="center" wrapText="1"/>
    </xf>
    <xf numFmtId="20" fontId="20" fillId="0" borderId="22" xfId="0" applyNumberFormat="1" applyFont="1" applyBorder="1" applyAlignment="1">
      <alignment horizontal="center" vertical="center" wrapText="1"/>
    </xf>
    <xf numFmtId="0" fontId="20" fillId="0" borderId="0" xfId="0" applyFont="1" applyAlignment="1">
      <alignment horizontal="center" vertical="center"/>
    </xf>
    <xf numFmtId="0" fontId="20" fillId="0" borderId="0" xfId="0" applyFont="1" applyAlignment="1">
      <alignment vertical="center"/>
    </xf>
    <xf numFmtId="166" fontId="11" fillId="0" borderId="0" xfId="1" applyNumberFormat="1" applyFont="1" applyFill="1" applyAlignment="1">
      <alignment vertical="center" wrapText="1"/>
    </xf>
    <xf numFmtId="0" fontId="31" fillId="0" borderId="0" xfId="0" applyFont="1" applyAlignment="1">
      <alignment horizontal="center" vertical="center"/>
    </xf>
    <xf numFmtId="0" fontId="31" fillId="0" borderId="0" xfId="0" applyFont="1" applyAlignment="1">
      <alignment horizontal="left" vertical="center"/>
    </xf>
    <xf numFmtId="0" fontId="31" fillId="0" borderId="0" xfId="0" applyFont="1" applyAlignment="1">
      <alignment horizontal="left" vertical="center" wrapText="1"/>
    </xf>
    <xf numFmtId="0" fontId="31" fillId="0" borderId="0" xfId="0" applyFont="1" applyAlignment="1">
      <alignment horizontal="center" vertical="center" wrapText="1"/>
    </xf>
    <xf numFmtId="14" fontId="31" fillId="0" borderId="0" xfId="3" applyNumberFormat="1" applyFont="1" applyFill="1" applyBorder="1" applyAlignment="1">
      <alignment horizontal="center" vertical="center" wrapText="1"/>
    </xf>
    <xf numFmtId="0" fontId="31" fillId="0" borderId="0" xfId="3" applyNumberFormat="1" applyFont="1" applyFill="1" applyBorder="1" applyAlignment="1">
      <alignment horizontal="center" vertical="center" wrapText="1"/>
    </xf>
    <xf numFmtId="0" fontId="31" fillId="0" borderId="1" xfId="0" applyFont="1" applyBorder="1" applyAlignment="1">
      <alignment horizontal="center" vertical="center"/>
    </xf>
    <xf numFmtId="14" fontId="31" fillId="0" borderId="0" xfId="3" applyNumberFormat="1" applyFont="1" applyFill="1" applyBorder="1" applyAlignment="1">
      <alignment horizontal="center" vertical="center"/>
    </xf>
    <xf numFmtId="0" fontId="31" fillId="0" borderId="0" xfId="0" applyFont="1" applyAlignment="1">
      <alignment horizontal="center"/>
    </xf>
    <xf numFmtId="11" fontId="31" fillId="0" borderId="0" xfId="0" applyNumberFormat="1" applyFont="1" applyAlignment="1">
      <alignment horizontal="left" vertical="center"/>
    </xf>
    <xf numFmtId="0" fontId="31" fillId="0" borderId="0" xfId="0" applyFont="1"/>
    <xf numFmtId="0" fontId="31" fillId="0" borderId="0" xfId="0" applyFont="1" applyAlignment="1">
      <alignment vertical="center"/>
    </xf>
    <xf numFmtId="14" fontId="32" fillId="0" borderId="0" xfId="0" applyNumberFormat="1" applyFont="1" applyAlignment="1">
      <alignment horizontal="center" vertical="center" wrapText="1" shrinkToFit="1"/>
    </xf>
    <xf numFmtId="0" fontId="32" fillId="0" borderId="0" xfId="0" applyFont="1" applyAlignment="1">
      <alignment horizontal="center" vertical="center" wrapText="1"/>
    </xf>
    <xf numFmtId="0" fontId="32" fillId="0" borderId="0" xfId="0" applyFont="1" applyAlignment="1">
      <alignment horizontal="left" vertical="center" wrapText="1"/>
    </xf>
    <xf numFmtId="0" fontId="32" fillId="0" borderId="0" xfId="0" applyFont="1" applyAlignment="1">
      <alignment vertical="center" wrapText="1"/>
    </xf>
    <xf numFmtId="14" fontId="32" fillId="0" borderId="0" xfId="0" applyNumberFormat="1" applyFont="1" applyAlignment="1">
      <alignment vertical="center" wrapText="1"/>
    </xf>
    <xf numFmtId="166" fontId="32" fillId="0" borderId="0" xfId="1" applyNumberFormat="1" applyFont="1" applyFill="1" applyBorder="1" applyAlignment="1">
      <alignment horizontal="center" vertical="center" wrapText="1"/>
    </xf>
    <xf numFmtId="14" fontId="32" fillId="0" borderId="0" xfId="0" applyNumberFormat="1" applyFont="1" applyAlignment="1">
      <alignment horizontal="center" vertical="center" wrapText="1"/>
    </xf>
    <xf numFmtId="166" fontId="32" fillId="0" borderId="0" xfId="1" applyNumberFormat="1" applyFont="1" applyFill="1" applyBorder="1" applyAlignment="1">
      <alignment vertical="center" wrapText="1"/>
    </xf>
    <xf numFmtId="14" fontId="34" fillId="0" borderId="0" xfId="0" applyNumberFormat="1" applyFont="1" applyFill="1" applyAlignment="1">
      <alignment horizontal="center" vertical="center" wrapText="1" shrinkToFit="1"/>
    </xf>
    <xf numFmtId="0" fontId="34" fillId="0" borderId="0" xfId="0" applyNumberFormat="1" applyFont="1" applyFill="1" applyAlignment="1">
      <alignment horizontal="center" vertical="center" wrapText="1"/>
    </xf>
    <xf numFmtId="0" fontId="34" fillId="0" borderId="0" xfId="0" applyNumberFormat="1" applyFont="1" applyFill="1" applyAlignment="1">
      <alignment horizontal="left" vertical="center" wrapText="1"/>
    </xf>
    <xf numFmtId="0" fontId="34" fillId="0" borderId="0" xfId="0" applyNumberFormat="1" applyFont="1" applyFill="1" applyAlignment="1">
      <alignment vertical="center" wrapText="1"/>
    </xf>
    <xf numFmtId="8" fontId="34" fillId="0" borderId="0" xfId="0" applyNumberFormat="1" applyFont="1" applyFill="1" applyAlignment="1">
      <alignment vertical="center" wrapText="1"/>
    </xf>
    <xf numFmtId="0" fontId="34" fillId="0" borderId="0" xfId="0" applyFont="1" applyAlignment="1">
      <alignment vertical="center" wrapText="1"/>
    </xf>
    <xf numFmtId="0" fontId="34" fillId="0" borderId="0" xfId="0" applyFont="1" applyFill="1" applyAlignment="1">
      <alignment horizontal="center" vertical="center" wrapText="1"/>
    </xf>
    <xf numFmtId="14" fontId="34" fillId="0" borderId="0" xfId="0" applyNumberFormat="1" applyFont="1" applyFill="1" applyAlignment="1">
      <alignment vertical="center" wrapText="1"/>
    </xf>
    <xf numFmtId="166" fontId="34" fillId="0" borderId="0" xfId="1" applyNumberFormat="1" applyFont="1" applyFill="1" applyBorder="1" applyAlignment="1">
      <alignment horizontal="center" vertical="center" wrapText="1"/>
    </xf>
    <xf numFmtId="14" fontId="34" fillId="0" borderId="0" xfId="0" applyNumberFormat="1" applyFont="1" applyFill="1" applyAlignment="1">
      <alignment horizontal="center" vertical="center" wrapText="1"/>
    </xf>
    <xf numFmtId="166" fontId="34" fillId="0" borderId="0" xfId="1" applyNumberFormat="1" applyFont="1" applyFill="1" applyBorder="1" applyAlignment="1">
      <alignment vertical="center" wrapText="1"/>
    </xf>
    <xf numFmtId="14" fontId="34" fillId="0" borderId="0" xfId="0" applyNumberFormat="1" applyFont="1" applyFill="1" applyBorder="1" applyAlignment="1">
      <alignment horizontal="center" vertical="center" wrapText="1" shrinkToFit="1"/>
    </xf>
    <xf numFmtId="0" fontId="34" fillId="0" borderId="0" xfId="0" applyNumberFormat="1" applyFont="1" applyFill="1" applyBorder="1" applyAlignment="1">
      <alignment horizontal="center" vertical="center" wrapText="1"/>
    </xf>
    <xf numFmtId="0" fontId="34" fillId="0" borderId="0" xfId="0" applyNumberFormat="1" applyFont="1" applyFill="1" applyBorder="1" applyAlignment="1">
      <alignment vertical="center" wrapText="1"/>
    </xf>
    <xf numFmtId="0" fontId="34" fillId="0" borderId="0" xfId="0" applyFont="1" applyBorder="1" applyAlignment="1">
      <alignment vertical="center" wrapText="1"/>
    </xf>
    <xf numFmtId="0" fontId="34" fillId="0" borderId="0" xfId="0" applyFont="1" applyFill="1" applyBorder="1" applyAlignment="1">
      <alignment horizontal="center" vertical="center" wrapText="1"/>
    </xf>
    <xf numFmtId="14" fontId="34" fillId="0" borderId="0" xfId="0" applyNumberFormat="1" applyFont="1" applyFill="1" applyBorder="1" applyAlignment="1">
      <alignment vertical="center" wrapText="1"/>
    </xf>
    <xf numFmtId="14" fontId="34" fillId="0" borderId="0" xfId="0" applyNumberFormat="1" applyFont="1" applyFill="1" applyBorder="1" applyAlignment="1">
      <alignment horizontal="center" vertical="center" wrapText="1"/>
    </xf>
    <xf numFmtId="0" fontId="11" fillId="0" borderId="0" xfId="0" applyNumberFormat="1" applyFont="1" applyAlignment="1">
      <alignment horizontal="center" vertical="center" wrapText="1"/>
    </xf>
    <xf numFmtId="0" fontId="21" fillId="0" borderId="0" xfId="0" applyNumberFormat="1" applyFont="1" applyAlignment="1">
      <alignment horizontal="center" vertical="center" wrapText="1"/>
    </xf>
    <xf numFmtId="0" fontId="27" fillId="0" borderId="0" xfId="0" applyNumberFormat="1" applyFont="1" applyAlignment="1">
      <alignment horizontal="center" vertical="center" wrapText="1"/>
    </xf>
    <xf numFmtId="0" fontId="32" fillId="0" borderId="0" xfId="0" applyNumberFormat="1" applyFont="1" applyAlignment="1">
      <alignment horizontal="center" vertical="center" wrapText="1"/>
    </xf>
    <xf numFmtId="0" fontId="11" fillId="0" borderId="0" xfId="0" applyNumberFormat="1" applyFont="1" applyAlignment="1">
      <alignment vertical="center" wrapText="1"/>
    </xf>
    <xf numFmtId="0" fontId="21" fillId="0" borderId="0" xfId="0" applyNumberFormat="1" applyFont="1" applyAlignment="1">
      <alignment vertical="center" wrapText="1"/>
    </xf>
    <xf numFmtId="0" fontId="27" fillId="0" borderId="0" xfId="0" applyNumberFormat="1" applyFont="1" applyAlignment="1">
      <alignment vertical="center" wrapText="1"/>
    </xf>
    <xf numFmtId="0" fontId="32" fillId="0" borderId="0" xfId="0" applyNumberFormat="1" applyFont="1" applyAlignment="1">
      <alignment vertical="center" wrapText="1"/>
    </xf>
    <xf numFmtId="0" fontId="11" fillId="21" borderId="0" xfId="0" applyNumberFormat="1" applyFont="1" applyFill="1" applyAlignment="1">
      <alignment horizontal="center" vertical="center" wrapText="1"/>
    </xf>
    <xf numFmtId="0" fontId="34" fillId="22" borderId="0" xfId="0" applyNumberFormat="1" applyFont="1" applyFill="1" applyAlignment="1">
      <alignment horizontal="center" vertical="center" wrapText="1"/>
    </xf>
    <xf numFmtId="0" fontId="11" fillId="22" borderId="0" xfId="0" applyNumberFormat="1" applyFont="1" applyFill="1" applyAlignment="1">
      <alignment horizontal="center" vertical="center" wrapText="1"/>
    </xf>
    <xf numFmtId="166" fontId="34" fillId="23" borderId="0" xfId="1" applyNumberFormat="1" applyFont="1" applyFill="1" applyBorder="1" applyAlignment="1">
      <alignment horizontal="center" vertical="center" wrapText="1"/>
    </xf>
    <xf numFmtId="14" fontId="34" fillId="23" borderId="0" xfId="0" applyNumberFormat="1" applyFont="1" applyFill="1" applyAlignment="1">
      <alignment horizontal="center" vertical="center" wrapText="1"/>
    </xf>
    <xf numFmtId="14" fontId="11" fillId="0" borderId="0" xfId="0" applyNumberFormat="1" applyFont="1" applyFill="1" applyAlignment="1">
      <alignment vertical="center" wrapText="1"/>
    </xf>
    <xf numFmtId="8" fontId="11" fillId="0" borderId="0" xfId="0" applyNumberFormat="1" applyFont="1" applyFill="1" applyAlignment="1">
      <alignment vertical="center" wrapText="1"/>
    </xf>
    <xf numFmtId="0" fontId="35" fillId="21" borderId="0" xfId="0" applyNumberFormat="1" applyFont="1" applyFill="1" applyAlignment="1">
      <alignment horizontal="center" vertical="center" wrapText="1"/>
    </xf>
    <xf numFmtId="14" fontId="11" fillId="0" borderId="0" xfId="0" applyNumberFormat="1" applyFont="1" applyFill="1" applyAlignment="1">
      <alignment horizontal="center" vertical="center" wrapText="1" shrinkToFit="1"/>
    </xf>
    <xf numFmtId="14" fontId="11" fillId="0" borderId="0" xfId="0" applyNumberFormat="1" applyFont="1" applyFill="1" applyAlignment="1">
      <alignment horizontal="center" vertical="center" wrapText="1"/>
    </xf>
    <xf numFmtId="0" fontId="11" fillId="0" borderId="0" xfId="0" applyFont="1" applyFill="1" applyAlignment="1">
      <alignment horizontal="center" vertical="center" wrapText="1"/>
    </xf>
    <xf numFmtId="0" fontId="11" fillId="0" borderId="0" xfId="0" applyNumberFormat="1" applyFont="1" applyFill="1" applyAlignment="1">
      <alignment horizontal="center" vertical="center" wrapText="1"/>
    </xf>
    <xf numFmtId="0" fontId="33" fillId="23" borderId="0" xfId="0" applyNumberFormat="1" applyFont="1" applyFill="1" applyAlignment="1">
      <alignment horizontal="center" vertical="center" wrapText="1"/>
    </xf>
    <xf numFmtId="14" fontId="36" fillId="21" borderId="0" xfId="0" applyNumberFormat="1" applyFont="1" applyFill="1" applyAlignment="1">
      <alignment horizontal="center" vertical="center" wrapText="1" shrinkToFit="1"/>
    </xf>
    <xf numFmtId="0" fontId="36" fillId="21" borderId="0" xfId="0" applyNumberFormat="1" applyFont="1" applyFill="1" applyAlignment="1">
      <alignment horizontal="center" vertical="center" wrapText="1"/>
    </xf>
    <xf numFmtId="0" fontId="36" fillId="21" borderId="0" xfId="0" applyNumberFormat="1" applyFont="1" applyFill="1" applyAlignment="1">
      <alignment vertical="center" wrapText="1"/>
    </xf>
    <xf numFmtId="8" fontId="36" fillId="21" borderId="0" xfId="0" applyNumberFormat="1" applyFont="1" applyFill="1" applyAlignment="1">
      <alignment vertical="center" wrapText="1"/>
    </xf>
    <xf numFmtId="0" fontId="36" fillId="21" borderId="0" xfId="0" applyFont="1" applyFill="1" applyAlignment="1">
      <alignment vertical="center" wrapText="1"/>
    </xf>
    <xf numFmtId="0" fontId="36" fillId="21" borderId="0" xfId="0" applyFont="1" applyFill="1" applyAlignment="1">
      <alignment horizontal="center" vertical="center" wrapText="1"/>
    </xf>
    <xf numFmtId="14" fontId="36" fillId="21" borderId="0" xfId="0" applyNumberFormat="1" applyFont="1" applyFill="1" applyAlignment="1">
      <alignment vertical="center" wrapText="1"/>
    </xf>
    <xf numFmtId="166" fontId="36" fillId="21" borderId="0" xfId="1" applyNumberFormat="1" applyFont="1" applyFill="1" applyBorder="1" applyAlignment="1">
      <alignment horizontal="center" vertical="center" wrapText="1"/>
    </xf>
    <xf numFmtId="14" fontId="36" fillId="21" borderId="0" xfId="0" applyNumberFormat="1" applyFont="1" applyFill="1" applyAlignment="1">
      <alignment horizontal="center" vertical="center" wrapText="1"/>
    </xf>
    <xf numFmtId="166" fontId="36" fillId="21" borderId="0" xfId="1" applyNumberFormat="1" applyFont="1" applyFill="1" applyBorder="1" applyAlignment="1">
      <alignment vertical="center" wrapText="1"/>
    </xf>
    <xf numFmtId="0" fontId="37" fillId="21" borderId="0" xfId="0" applyFont="1" applyFill="1" applyAlignment="1">
      <alignment shrinkToFit="1"/>
    </xf>
    <xf numFmtId="0" fontId="38" fillId="21" borderId="0" xfId="0" applyFont="1" applyFill="1" applyAlignment="1">
      <alignment shrinkToFit="1"/>
    </xf>
    <xf numFmtId="0" fontId="34" fillId="0" borderId="0" xfId="0" applyNumberFormat="1" applyFont="1" applyFill="1" applyBorder="1" applyAlignment="1">
      <alignment horizontal="left" vertical="center" wrapText="1"/>
    </xf>
    <xf numFmtId="8" fontId="34" fillId="0" borderId="0" xfId="0" applyNumberFormat="1" applyFont="1" applyFill="1" applyBorder="1" applyAlignment="1">
      <alignment vertical="center" wrapText="1"/>
    </xf>
    <xf numFmtId="14" fontId="34" fillId="24" borderId="0" xfId="0" applyNumberFormat="1" applyFont="1" applyFill="1" applyAlignment="1">
      <alignment horizontal="center" vertical="center" wrapText="1" shrinkToFit="1"/>
    </xf>
    <xf numFmtId="0" fontId="34" fillId="24" borderId="0" xfId="0" applyNumberFormat="1" applyFont="1" applyFill="1" applyAlignment="1">
      <alignment horizontal="center" vertical="center" wrapText="1"/>
    </xf>
    <xf numFmtId="0" fontId="34" fillId="24" borderId="0" xfId="0" applyNumberFormat="1" applyFont="1" applyFill="1" applyAlignment="1">
      <alignment horizontal="left" vertical="center" wrapText="1"/>
    </xf>
    <xf numFmtId="0" fontId="34" fillId="24" borderId="0" xfId="0" applyNumberFormat="1" applyFont="1" applyFill="1" applyAlignment="1">
      <alignment vertical="center" wrapText="1"/>
    </xf>
    <xf numFmtId="8" fontId="34" fillId="24" borderId="0" xfId="0" applyNumberFormat="1" applyFont="1" applyFill="1" applyAlignment="1">
      <alignment vertical="center" wrapText="1"/>
    </xf>
    <xf numFmtId="0" fontId="34" fillId="24" borderId="0" xfId="0" applyFont="1" applyFill="1" applyAlignment="1">
      <alignment vertical="center" wrapText="1"/>
    </xf>
    <xf numFmtId="0" fontId="34" fillId="24" borderId="0" xfId="0" applyFont="1" applyFill="1" applyAlignment="1">
      <alignment horizontal="center" vertical="center" wrapText="1"/>
    </xf>
    <xf numFmtId="14" fontId="34" fillId="24" borderId="0" xfId="0" applyNumberFormat="1" applyFont="1" applyFill="1" applyAlignment="1">
      <alignment vertical="center" wrapText="1"/>
    </xf>
    <xf numFmtId="166" fontId="34" fillId="24" borderId="0" xfId="1" applyNumberFormat="1" applyFont="1" applyFill="1" applyBorder="1" applyAlignment="1">
      <alignment horizontal="center" vertical="center" wrapText="1"/>
    </xf>
    <xf numFmtId="14" fontId="34" fillId="24" borderId="0" xfId="0" applyNumberFormat="1" applyFont="1" applyFill="1" applyAlignment="1">
      <alignment horizontal="center" vertical="center" wrapText="1"/>
    </xf>
    <xf numFmtId="166" fontId="34" fillId="24" borderId="0" xfId="1" applyNumberFormat="1" applyFont="1" applyFill="1" applyBorder="1" applyAlignment="1">
      <alignment vertical="center" wrapText="1"/>
    </xf>
    <xf numFmtId="0" fontId="8" fillId="24" borderId="0" xfId="0" applyFont="1" applyFill="1" applyAlignment="1">
      <alignment shrinkToFit="1"/>
    </xf>
    <xf numFmtId="0" fontId="0" fillId="24" borderId="0" xfId="0" applyFill="1" applyAlignment="1">
      <alignment shrinkToFit="1"/>
    </xf>
    <xf numFmtId="14" fontId="12" fillId="21" borderId="0" xfId="0" applyNumberFormat="1" applyFont="1" applyFill="1" applyAlignment="1">
      <alignment horizontal="center" vertical="center" wrapText="1" shrinkToFit="1"/>
    </xf>
    <xf numFmtId="0" fontId="12" fillId="21" borderId="0" xfId="0" applyNumberFormat="1" applyFont="1" applyFill="1" applyAlignment="1">
      <alignment horizontal="center" vertical="center" wrapText="1"/>
    </xf>
    <xf numFmtId="0" fontId="12" fillId="21" borderId="0" xfId="0" applyNumberFormat="1" applyFont="1" applyFill="1" applyAlignment="1">
      <alignment horizontal="left" vertical="center" wrapText="1"/>
    </xf>
    <xf numFmtId="0" fontId="12" fillId="21" borderId="0" xfId="0" applyNumberFormat="1" applyFont="1" applyFill="1" applyAlignment="1">
      <alignment vertical="center" wrapText="1"/>
    </xf>
    <xf numFmtId="8" fontId="12" fillId="21" borderId="0" xfId="0" applyNumberFormat="1" applyFont="1" applyFill="1" applyAlignment="1">
      <alignment vertical="center" wrapText="1"/>
    </xf>
    <xf numFmtId="0" fontId="12" fillId="21" borderId="0" xfId="0" applyFont="1" applyFill="1" applyAlignment="1">
      <alignment vertical="center" wrapText="1"/>
    </xf>
    <xf numFmtId="0" fontId="12" fillId="21" borderId="0" xfId="0" applyFont="1" applyFill="1" applyAlignment="1">
      <alignment horizontal="center" vertical="center" wrapText="1"/>
    </xf>
    <xf numFmtId="14" fontId="12" fillId="21" borderId="0" xfId="0" applyNumberFormat="1" applyFont="1" applyFill="1" applyAlignment="1">
      <alignment vertical="center" wrapText="1"/>
    </xf>
    <xf numFmtId="166" fontId="12" fillId="21" borderId="0" xfId="1" applyNumberFormat="1" applyFont="1" applyFill="1" applyBorder="1" applyAlignment="1">
      <alignment horizontal="center" vertical="center" wrapText="1"/>
    </xf>
    <xf numFmtId="14" fontId="12" fillId="21" borderId="0" xfId="0" applyNumberFormat="1" applyFont="1" applyFill="1" applyAlignment="1">
      <alignment horizontal="center" vertical="center" wrapText="1"/>
    </xf>
    <xf numFmtId="166" fontId="12" fillId="21" borderId="0" xfId="1" applyNumberFormat="1" applyFont="1" applyFill="1" applyBorder="1" applyAlignment="1">
      <alignment vertical="center" wrapText="1"/>
    </xf>
    <xf numFmtId="0" fontId="8" fillId="21" borderId="0" xfId="0" applyFont="1" applyFill="1" applyAlignment="1">
      <alignment shrinkToFit="1"/>
    </xf>
    <xf numFmtId="0" fontId="0" fillId="21" borderId="0" xfId="0" applyFill="1" applyAlignment="1">
      <alignment shrinkToFit="1"/>
    </xf>
    <xf numFmtId="14" fontId="11" fillId="0" borderId="0" xfId="0" applyNumberFormat="1" applyFont="1" applyFill="1" applyBorder="1" applyAlignment="1">
      <alignment horizontal="center" vertical="center" wrapText="1" shrinkToFit="1"/>
    </xf>
    <xf numFmtId="0" fontId="11" fillId="0" borderId="0" xfId="0" applyNumberFormat="1" applyFont="1" applyFill="1" applyBorder="1" applyAlignment="1">
      <alignment horizontal="center" vertical="center" wrapText="1"/>
    </xf>
    <xf numFmtId="0" fontId="11" fillId="0" borderId="0" xfId="0" applyNumberFormat="1" applyFont="1" applyFill="1" applyBorder="1" applyAlignment="1">
      <alignment horizontal="left" vertical="center" wrapText="1"/>
    </xf>
    <xf numFmtId="0" fontId="11" fillId="0" borderId="0" xfId="0" applyNumberFormat="1" applyFont="1" applyFill="1" applyBorder="1" applyAlignment="1">
      <alignment vertical="center" wrapText="1"/>
    </xf>
    <xf numFmtId="8" fontId="11" fillId="0" borderId="0" xfId="0" applyNumberFormat="1" applyFont="1" applyFill="1" applyBorder="1" applyAlignment="1">
      <alignment vertical="center" wrapText="1"/>
    </xf>
    <xf numFmtId="0" fontId="11" fillId="0" borderId="0" xfId="0" applyFont="1" applyBorder="1" applyAlignment="1">
      <alignment vertical="center" wrapText="1"/>
    </xf>
    <xf numFmtId="0" fontId="11" fillId="0" borderId="0" xfId="0" applyFont="1" applyFill="1" applyBorder="1" applyAlignment="1">
      <alignment horizontal="center" vertical="center" wrapText="1"/>
    </xf>
    <xf numFmtId="14" fontId="11" fillId="0" borderId="0" xfId="0" applyNumberFormat="1" applyFont="1" applyFill="1" applyBorder="1" applyAlignment="1">
      <alignment vertical="center" wrapText="1"/>
    </xf>
    <xf numFmtId="14" fontId="11" fillId="0" borderId="0" xfId="0" applyNumberFormat="1" applyFont="1" applyFill="1" applyBorder="1" applyAlignment="1">
      <alignment horizontal="center" vertical="center" wrapText="1"/>
    </xf>
    <xf numFmtId="1" fontId="11" fillId="0" borderId="0" xfId="0" applyNumberFormat="1" applyFont="1" applyFill="1" applyBorder="1" applyAlignment="1">
      <alignment horizontal="center" vertical="center" wrapText="1"/>
    </xf>
    <xf numFmtId="49" fontId="11" fillId="0" borderId="0" xfId="1" applyNumberFormat="1" applyFont="1" applyFill="1" applyBorder="1" applyAlignment="1">
      <alignment horizontal="center" vertical="center" wrapText="1"/>
    </xf>
    <xf numFmtId="49" fontId="11" fillId="0" borderId="0" xfId="0" applyNumberFormat="1" applyFont="1" applyFill="1" applyBorder="1" applyAlignment="1">
      <alignment horizontal="center" vertical="center" wrapText="1"/>
    </xf>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1" xfId="0" applyBorder="1" applyAlignment="1">
      <alignment horizontal="center"/>
    </xf>
    <xf numFmtId="0" fontId="7" fillId="0" borderId="1" xfId="0" applyFont="1" applyBorder="1" applyAlignment="1">
      <alignment horizontal="center" vertical="center"/>
    </xf>
    <xf numFmtId="0" fontId="28" fillId="0" borderId="3" xfId="0" applyFont="1" applyBorder="1" applyAlignment="1">
      <alignment horizontal="center" vertical="center" wrapText="1"/>
    </xf>
    <xf numFmtId="0" fontId="28" fillId="0" borderId="19" xfId="0" applyFont="1" applyBorder="1" applyAlignment="1">
      <alignment horizontal="center" vertical="center" wrapText="1"/>
    </xf>
    <xf numFmtId="0" fontId="28" fillId="0" borderId="2" xfId="0" applyFont="1" applyBorder="1" applyAlignment="1">
      <alignment horizontal="center" vertical="center" wrapText="1"/>
    </xf>
    <xf numFmtId="0" fontId="0" fillId="0" borderId="0" xfId="0" applyAlignment="1">
      <alignment horizontal="center"/>
    </xf>
    <xf numFmtId="0" fontId="0" fillId="11" borderId="1" xfId="0" applyFill="1" applyBorder="1" applyAlignment="1">
      <alignment horizontal="center"/>
    </xf>
    <xf numFmtId="0" fontId="0" fillId="15" borderId="1" xfId="0" applyFill="1" applyBorder="1" applyAlignment="1">
      <alignment horizontal="center"/>
    </xf>
    <xf numFmtId="0" fontId="0" fillId="14" borderId="1" xfId="0" applyFill="1" applyBorder="1" applyAlignment="1">
      <alignment horizontal="center"/>
    </xf>
    <xf numFmtId="0" fontId="0" fillId="10" borderId="1" xfId="0" applyFill="1" applyBorder="1" applyAlignment="1">
      <alignment horizontal="center"/>
    </xf>
    <xf numFmtId="0" fontId="0" fillId="12" borderId="1" xfId="0" applyFill="1" applyBorder="1" applyAlignment="1">
      <alignment horizontal="center"/>
    </xf>
    <xf numFmtId="0" fontId="0" fillId="5" borderId="1" xfId="0" applyFill="1" applyBorder="1" applyAlignment="1">
      <alignment horizontal="center"/>
    </xf>
    <xf numFmtId="0" fontId="0" fillId="13" borderId="1" xfId="0" applyFill="1" applyBorder="1" applyAlignment="1">
      <alignment horizontal="center"/>
    </xf>
    <xf numFmtId="0" fontId="13" fillId="19" borderId="0" xfId="0" applyFont="1" applyFill="1" applyAlignment="1">
      <alignment horizontal="center" vertical="center"/>
    </xf>
    <xf numFmtId="0" fontId="16" fillId="0" borderId="12" xfId="0" applyFont="1" applyBorder="1" applyAlignment="1">
      <alignment horizontal="center" vertical="center"/>
    </xf>
    <xf numFmtId="0" fontId="16" fillId="0" borderId="21" xfId="0" applyFont="1" applyBorder="1" applyAlignment="1">
      <alignment horizontal="center" vertical="center"/>
    </xf>
    <xf numFmtId="0" fontId="18" fillId="16" borderId="12" xfId="0" applyFont="1" applyFill="1" applyBorder="1" applyAlignment="1">
      <alignment horizontal="center" vertical="center"/>
    </xf>
    <xf numFmtId="0" fontId="17" fillId="0" borderId="13" xfId="0" applyFont="1" applyBorder="1" applyAlignment="1">
      <alignment horizontal="center" vertical="center"/>
    </xf>
    <xf numFmtId="0" fontId="17" fillId="0" borderId="14"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17" fillId="0" borderId="18" xfId="0" applyFont="1" applyBorder="1" applyAlignment="1">
      <alignment horizontal="center" vertical="center"/>
    </xf>
    <xf numFmtId="0" fontId="0" fillId="0" borderId="13" xfId="0" applyBorder="1" applyAlignment="1">
      <alignment horizontal="center"/>
    </xf>
    <xf numFmtId="0" fontId="0" fillId="0" borderId="15"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16" xfId="0" applyBorder="1" applyAlignment="1">
      <alignment horizontal="center"/>
    </xf>
    <xf numFmtId="0" fontId="0" fillId="0" borderId="18" xfId="0" applyBorder="1" applyAlignment="1">
      <alignment horizont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7" fillId="0" borderId="15" xfId="0" applyFont="1" applyBorder="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0" fillId="0" borderId="12" xfId="0" applyBorder="1" applyAlignment="1">
      <alignment horizontal="center"/>
    </xf>
    <xf numFmtId="0" fontId="30" fillId="0" borderId="0" xfId="0" applyFont="1" applyAlignment="1">
      <alignment horizontal="center" vertical="center" wrapText="1"/>
    </xf>
  </cellXfs>
  <cellStyles count="4">
    <cellStyle name="40 % - Accent1 2" xfId="3"/>
    <cellStyle name="Milliers" xfId="1" builtinId="3"/>
    <cellStyle name="Normal" xfId="0" builtinId="0"/>
    <cellStyle name="Pourcentage" xfId="2" builtinId="5"/>
  </cellStyles>
  <dxfs count="445">
    <dxf>
      <font>
        <b val="0"/>
        <strike val="0"/>
        <outline val="0"/>
        <shadow val="0"/>
        <u val="none"/>
        <vertAlign val="baseline"/>
        <sz val="11"/>
        <color theme="1"/>
        <name val="Arial"/>
        <scheme val="none"/>
      </font>
      <numFmt numFmtId="0" formatCode="General"/>
      <fill>
        <patternFill patternType="none">
          <fgColor indexed="64"/>
          <bgColor auto="1"/>
        </patternFill>
      </fill>
      <alignment horizontal="center" vertical="center" textRotation="0" wrapText="0" indent="0" relativeIndent="255" justifyLastLine="0" shrinkToFit="0" readingOrder="0"/>
      <border diagonalUp="0" diagonalDown="0" outline="0">
        <left style="medium">
          <color indexed="64"/>
        </left>
        <right style="medium">
          <color indexed="64"/>
        </right>
        <top style="medium">
          <color indexed="64"/>
        </top>
        <bottom style="medium">
          <color indexed="64"/>
        </bottom>
      </border>
    </dxf>
    <dxf>
      <font>
        <b val="0"/>
        <strike val="0"/>
        <outline val="0"/>
        <shadow val="0"/>
        <u val="none"/>
        <vertAlign val="baseline"/>
        <sz val="11"/>
        <color theme="1"/>
        <name val="Arial"/>
        <scheme val="none"/>
      </font>
      <numFmt numFmtId="0" formatCode="General"/>
      <fill>
        <patternFill patternType="none">
          <fgColor indexed="64"/>
          <bgColor auto="1"/>
        </patternFill>
      </fill>
      <alignment horizontal="center" vertical="center" textRotation="0" wrapText="0" indent="0" relativeIndent="255" justifyLastLine="0" shrinkToFit="0" readingOrder="0"/>
      <border diagonalUp="0" diagonalDown="0" outline="0">
        <left style="medium">
          <color indexed="64"/>
        </left>
        <right style="medium">
          <color indexed="64"/>
        </right>
        <top style="medium">
          <color indexed="64"/>
        </top>
        <bottom style="medium">
          <color indexed="64"/>
        </bottom>
      </border>
    </dxf>
    <dxf>
      <font>
        <b val="0"/>
        <strike val="0"/>
        <outline val="0"/>
        <shadow val="0"/>
        <u val="none"/>
        <vertAlign val="baseline"/>
        <sz val="11"/>
        <color theme="1"/>
        <name val="Arial"/>
        <scheme val="none"/>
      </font>
      <numFmt numFmtId="0" formatCode="General"/>
      <fill>
        <patternFill patternType="none">
          <fgColor indexed="64"/>
          <bgColor auto="1"/>
        </patternFill>
      </fill>
      <alignment horizontal="center" vertical="center" textRotation="0" wrapText="0" indent="0" relativeIndent="255" justifyLastLine="0" shrinkToFit="0" readingOrder="0"/>
      <border diagonalUp="0" diagonalDown="0" outline="0">
        <left style="medium">
          <color indexed="64"/>
        </left>
        <right style="medium">
          <color indexed="64"/>
        </right>
        <top style="medium">
          <color indexed="64"/>
        </top>
        <bottom style="medium">
          <color indexed="64"/>
        </bottom>
      </border>
    </dxf>
    <dxf>
      <font>
        <b val="0"/>
        <strike val="0"/>
        <outline val="0"/>
        <shadow val="0"/>
        <u val="none"/>
        <vertAlign val="baseline"/>
        <sz val="11"/>
        <color theme="1"/>
        <name val="Arial"/>
        <scheme val="none"/>
      </font>
      <numFmt numFmtId="0" formatCode="General"/>
      <fill>
        <patternFill patternType="none">
          <fgColor indexed="64"/>
          <bgColor auto="1"/>
        </patternFill>
      </fill>
      <alignment horizontal="left" vertical="top" textRotation="0" wrapText="1" indent="0" relativeIndent="255" justifyLastLine="0" shrinkToFit="0" readingOrder="0"/>
      <border diagonalUp="0" diagonalDown="0" outline="0">
        <left/>
        <right style="medium">
          <color indexed="64"/>
        </right>
        <top/>
        <bottom/>
      </border>
    </dxf>
    <dxf>
      <font>
        <b val="0"/>
        <strike val="0"/>
        <outline val="0"/>
        <shadow val="0"/>
        <u val="none"/>
        <vertAlign val="baseline"/>
        <sz val="11"/>
        <color theme="1"/>
        <name val="Arial"/>
        <scheme val="none"/>
      </font>
      <numFmt numFmtId="0" formatCode="General"/>
      <fill>
        <patternFill patternType="none">
          <fgColor indexed="64"/>
          <bgColor auto="1"/>
        </patternFill>
      </fill>
      <alignment horizontal="center" vertical="center" textRotation="0" wrapText="0" indent="0" relativeIndent="255" justifyLastLine="0" shrinkToFit="0" readingOrder="0"/>
    </dxf>
    <dxf>
      <font>
        <b val="0"/>
        <strike val="0"/>
        <outline val="0"/>
        <shadow val="0"/>
        <u val="none"/>
        <vertAlign val="baseline"/>
        <sz val="11"/>
        <color theme="1"/>
        <name val="Arial"/>
        <scheme val="none"/>
      </font>
      <numFmt numFmtId="0" formatCode="General"/>
      <fill>
        <patternFill patternType="none">
          <fgColor indexed="64"/>
          <bgColor auto="1"/>
        </patternFill>
      </fill>
      <alignment horizontal="left" vertical="top" textRotation="0" wrapText="0" indent="0" relativeIndent="255" justifyLastLine="0" shrinkToFit="0" readingOrder="0"/>
    </dxf>
    <dxf>
      <font>
        <b val="0"/>
        <i val="0"/>
        <strike val="0"/>
        <condense val="0"/>
        <extend val="0"/>
        <outline val="0"/>
        <shadow val="0"/>
        <u val="none"/>
        <vertAlign val="baseline"/>
        <sz val="11"/>
        <color theme="1"/>
        <name val="Arial"/>
        <scheme val="none"/>
      </font>
      <numFmt numFmtId="0" formatCode="General"/>
      <fill>
        <patternFill patternType="none">
          <fgColor indexed="64"/>
          <bgColor auto="1"/>
        </patternFill>
      </fill>
      <alignment horizontal="center" vertical="center" textRotation="0" wrapText="1" indent="0" relativeIndent="255" justifyLastLine="0" shrinkToFit="0" readingOrder="0"/>
    </dxf>
    <dxf>
      <font>
        <b val="0"/>
        <i val="0"/>
        <strike val="0"/>
        <condense val="0"/>
        <extend val="0"/>
        <outline val="0"/>
        <shadow val="0"/>
        <u val="none"/>
        <vertAlign val="baseline"/>
        <sz val="11"/>
        <color theme="1"/>
        <name val="Arial"/>
        <scheme val="none"/>
      </font>
      <numFmt numFmtId="0" formatCode="General"/>
      <fill>
        <patternFill patternType="none">
          <fgColor indexed="64"/>
          <bgColor auto="1"/>
        </patternFill>
      </fill>
      <alignment horizontal="center" vertical="center" textRotation="0" wrapText="1" indent="0" relativeIndent="255" justifyLastLine="0" shrinkToFit="0" readingOrder="0"/>
    </dxf>
    <dxf>
      <font>
        <b val="0"/>
        <strike val="0"/>
        <outline val="0"/>
        <shadow val="0"/>
        <u val="none"/>
        <vertAlign val="baseline"/>
        <sz val="11"/>
        <color theme="1"/>
        <name val="Arial"/>
        <scheme val="none"/>
      </font>
      <numFmt numFmtId="0" formatCode="General"/>
      <fill>
        <patternFill patternType="none">
          <fgColor indexed="64"/>
          <bgColor auto="1"/>
        </patternFill>
      </fill>
      <alignment horizontal="center" vertical="top" textRotation="0" wrapText="0" indent="0" relativeIndent="255" justifyLastLine="0" shrinkToFit="0" readingOrder="0"/>
    </dxf>
    <dxf>
      <font>
        <b val="0"/>
        <strike val="0"/>
        <outline val="0"/>
        <shadow val="0"/>
        <u val="none"/>
        <vertAlign val="baseline"/>
        <sz val="11"/>
        <color theme="1"/>
        <name val="Arial"/>
        <scheme val="none"/>
      </font>
      <numFmt numFmtId="0" formatCode="General"/>
      <fill>
        <patternFill patternType="none">
          <fgColor indexed="64"/>
          <bgColor auto="1"/>
        </patternFill>
      </fill>
      <alignment horizontal="center" vertical="center" textRotation="0" wrapText="1" indent="0" relativeIndent="255" justifyLastLine="0" shrinkToFit="0" readingOrder="0"/>
    </dxf>
    <dxf>
      <font>
        <b val="0"/>
        <strike val="0"/>
        <outline val="0"/>
        <shadow val="0"/>
        <u val="none"/>
        <vertAlign val="baseline"/>
        <sz val="11"/>
        <color theme="1"/>
        <name val="Arial"/>
        <scheme val="none"/>
      </font>
      <numFmt numFmtId="0" formatCode="General"/>
      <fill>
        <patternFill patternType="none">
          <fgColor indexed="64"/>
          <bgColor auto="1"/>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Arial"/>
        <scheme val="none"/>
      </font>
      <numFmt numFmtId="0" formatCode="General"/>
      <fill>
        <patternFill patternType="none">
          <fgColor indexed="64"/>
          <bgColor auto="1"/>
        </patternFill>
      </fill>
      <alignment horizontal="center" vertical="center" textRotation="0" wrapText="1" indent="0" relativeIndent="255" justifyLastLine="0" shrinkToFit="0" readingOrder="0"/>
    </dxf>
    <dxf>
      <font>
        <b val="0"/>
        <i val="0"/>
        <strike val="0"/>
        <condense val="0"/>
        <extend val="0"/>
        <outline val="0"/>
        <shadow val="0"/>
        <u val="none"/>
        <vertAlign val="baseline"/>
        <sz val="11"/>
        <color theme="1"/>
        <name val="Arial"/>
        <scheme val="none"/>
      </font>
      <numFmt numFmtId="0" formatCode="General"/>
      <fill>
        <patternFill patternType="none">
          <fgColor indexed="64"/>
          <bgColor auto="1"/>
        </patternFill>
      </fill>
      <alignment horizontal="center" vertical="center" textRotation="0" wrapText="1" indent="0" relativeIndent="255" justifyLastLine="0" shrinkToFit="0" readingOrder="0"/>
    </dxf>
    <dxf>
      <font>
        <b val="0"/>
        <i val="0"/>
        <strike val="0"/>
        <condense val="0"/>
        <extend val="0"/>
        <outline val="0"/>
        <shadow val="0"/>
        <u val="none"/>
        <vertAlign val="baseline"/>
        <sz val="11"/>
        <color theme="1"/>
        <name val="Arial"/>
        <scheme val="none"/>
      </font>
      <numFmt numFmtId="0" formatCode="General"/>
      <fill>
        <patternFill patternType="none">
          <fgColor indexed="64"/>
          <bgColor auto="1"/>
        </patternFill>
      </fill>
      <alignment horizontal="left" vertical="center" textRotation="0" wrapText="1" indent="0" relativeIndent="255" justifyLastLine="0" shrinkToFit="0" readingOrder="0"/>
    </dxf>
    <dxf>
      <font>
        <b val="0"/>
        <i val="0"/>
        <strike val="0"/>
        <condense val="0"/>
        <extend val="0"/>
        <outline val="0"/>
        <shadow val="0"/>
        <u val="none"/>
        <vertAlign val="baseline"/>
        <sz val="11"/>
        <color theme="1"/>
        <name val="Arial"/>
        <scheme val="none"/>
      </font>
      <numFmt numFmtId="0" formatCode="General"/>
      <fill>
        <patternFill patternType="none">
          <fgColor indexed="64"/>
          <bgColor auto="1"/>
        </patternFill>
      </fill>
      <alignment horizontal="left" vertical="center" textRotation="0" wrapText="0" indent="0" relativeIndent="255" justifyLastLine="0" shrinkToFit="0" readingOrder="0"/>
    </dxf>
    <dxf>
      <font>
        <b val="0"/>
        <i val="0"/>
        <strike val="0"/>
        <condense val="0"/>
        <extend val="0"/>
        <outline val="0"/>
        <shadow val="0"/>
        <u val="none"/>
        <vertAlign val="baseline"/>
        <sz val="11"/>
        <color theme="1"/>
        <name val="Arial"/>
        <scheme val="none"/>
      </font>
      <numFmt numFmtId="0" formatCode="General"/>
      <fill>
        <patternFill patternType="none">
          <fgColor indexed="64"/>
          <bgColor auto="1"/>
        </patternFill>
      </fill>
      <alignment horizontal="left" vertical="center" textRotation="0" wrapText="1" indent="0" relativeIndent="255" justifyLastLine="0" shrinkToFit="0" readingOrder="0"/>
    </dxf>
    <dxf>
      <font>
        <b val="0"/>
        <i val="0"/>
        <strike val="0"/>
        <condense val="0"/>
        <extend val="0"/>
        <outline val="0"/>
        <shadow val="0"/>
        <u val="none"/>
        <vertAlign val="baseline"/>
        <sz val="11"/>
        <color theme="1"/>
        <name val="Arial"/>
        <scheme val="none"/>
      </font>
      <numFmt numFmtId="0" formatCode="General"/>
      <fill>
        <patternFill patternType="none">
          <fgColor indexed="64"/>
          <bgColor auto="1"/>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Arial"/>
        <scheme val="none"/>
      </font>
      <numFmt numFmtId="0" formatCode="General"/>
      <fill>
        <patternFill patternType="none">
          <fgColor indexed="64"/>
          <bgColor auto="1"/>
        </patternFill>
      </fill>
      <alignment horizontal="left" vertical="center" textRotation="0" wrapText="0" indent="0" relativeIndent="255" justifyLastLine="0" shrinkToFit="0" readingOrder="0"/>
    </dxf>
    <dxf>
      <font>
        <b val="0"/>
        <i val="0"/>
        <strike val="0"/>
        <condense val="0"/>
        <extend val="0"/>
        <outline val="0"/>
        <shadow val="0"/>
        <u val="none"/>
        <vertAlign val="baseline"/>
        <sz val="11"/>
        <color theme="1"/>
        <name val="Arial"/>
        <scheme val="none"/>
      </font>
      <numFmt numFmtId="0" formatCode="General"/>
      <fill>
        <patternFill patternType="none">
          <fgColor indexed="64"/>
          <bgColor auto="1"/>
        </patternFill>
      </fill>
      <alignment horizontal="left" vertical="center" textRotation="0" wrapText="0" indent="0" relativeIndent="255" justifyLastLine="0" shrinkToFit="0" readingOrder="0"/>
    </dxf>
    <dxf>
      <font>
        <b val="0"/>
        <strike val="0"/>
        <outline val="0"/>
        <shadow val="0"/>
        <u val="none"/>
        <vertAlign val="baseline"/>
        <sz val="11"/>
        <color theme="1"/>
        <name val="Arial"/>
        <scheme val="none"/>
      </font>
      <numFmt numFmtId="0" formatCode="General"/>
      <fill>
        <patternFill patternType="none">
          <fgColor indexed="64"/>
          <bgColor auto="1"/>
        </patternFill>
      </fill>
      <alignment horizontal="center" vertical="center" textRotation="0" wrapText="0" indent="0" relativeIndent="255" justifyLastLine="0" shrinkToFit="0" readingOrder="0"/>
    </dxf>
    <dxf>
      <font>
        <b val="0"/>
        <strike val="0"/>
        <outline val="0"/>
        <shadow val="0"/>
        <u val="none"/>
        <vertAlign val="baseline"/>
        <sz val="11"/>
        <color theme="1"/>
        <name val="Arial"/>
        <scheme val="none"/>
      </font>
      <numFmt numFmtId="0" formatCode="General"/>
      <fill>
        <patternFill patternType="none">
          <fgColor indexed="64"/>
          <bgColor auto="1"/>
        </patternFill>
      </fill>
      <alignment horizontal="left" vertical="top" textRotation="0" wrapText="0" indent="0" relativeIndent="255" justifyLastLine="0" shrinkToFit="0" readingOrder="0"/>
    </dxf>
    <dxf>
      <font>
        <b/>
        <strike val="0"/>
        <outline val="0"/>
        <shadow val="0"/>
        <u val="none"/>
        <vertAlign val="baseline"/>
        <sz val="10"/>
        <color theme="1"/>
        <name val="Arial"/>
        <scheme val="none"/>
      </font>
      <numFmt numFmtId="25" formatCode="hh:mm"/>
      <fill>
        <patternFill patternType="none">
          <fgColor indexed="64"/>
          <bgColor auto="1"/>
        </patternFill>
      </fill>
      <alignment horizontal="center" vertical="center" textRotation="0" wrapText="1" indent="0" relativeIndent="255" justifyLastLine="0" shrinkToFit="0" readingOrder="0"/>
      <border diagonalUp="0" diagonalDown="0" outline="0">
        <left style="thin">
          <color indexed="64"/>
        </left>
        <right style="thin">
          <color indexed="64"/>
        </right>
        <top/>
        <bottom/>
      </border>
    </dxf>
    <dxf>
      <fill>
        <patternFill>
          <bgColor theme="9"/>
        </patternFill>
      </fill>
    </dxf>
    <dxf>
      <fill>
        <patternFill>
          <bgColor rgb="FFFFC000"/>
        </patternFill>
      </fill>
    </dxf>
    <dxf>
      <fill>
        <patternFill>
          <bgColor rgb="FFC00000"/>
        </patternFill>
      </fill>
    </dxf>
    <dxf>
      <fill>
        <patternFill>
          <bgColor rgb="FFFFC000"/>
        </patternFill>
      </fill>
    </dxf>
    <dxf>
      <fill>
        <patternFill>
          <bgColor theme="9"/>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strike val="0"/>
        <outline val="0"/>
        <shadow val="0"/>
        <u val="none"/>
        <vertAlign val="baseline"/>
        <sz val="14"/>
        <color theme="1"/>
        <name val="Calibri"/>
        <scheme val="minor"/>
      </font>
      <numFmt numFmtId="0" formatCode="General"/>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numFmt numFmtId="0" formatCode="General"/>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numFmt numFmtId="0" formatCode="General"/>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numFmt numFmtId="0" formatCode="General"/>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numFmt numFmtId="0" formatCode="General"/>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numFmt numFmtId="0" formatCode="General"/>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numFmt numFmtId="0" formatCode="General"/>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numFmt numFmtId="0" formatCode="General"/>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numFmt numFmtId="0" formatCode="General"/>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numFmt numFmtId="0" formatCode="General"/>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numFmt numFmtId="0" formatCode="General"/>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numFmt numFmtId="0" formatCode="General"/>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numFmt numFmtId="0" formatCode="General"/>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numFmt numFmtId="0" formatCode="General"/>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indexed="65"/>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indexed="65"/>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indexed="65"/>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indexed="65"/>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indexed="65"/>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4"/>
        <color theme="1"/>
        <name val="Calibri"/>
        <scheme val="minor"/>
      </font>
      <fill>
        <patternFill patternType="none">
          <fgColor indexed="64"/>
          <bgColor indexed="65"/>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4"/>
        <color theme="1"/>
        <name val="Calibri"/>
        <scheme val="minor"/>
      </font>
      <fill>
        <patternFill patternType="none">
          <fgColor indexed="64"/>
          <bgColor indexed="65"/>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0" indent="0" relativeIndent="255" justifyLastLine="0" shrinkToFit="0" readingOrder="0"/>
    </dxf>
    <dxf>
      <fill>
        <patternFill patternType="none">
          <fgColor indexed="64"/>
          <bgColor auto="1"/>
        </patternFill>
      </fill>
      <alignment horizontal="center" vertical="center" textRotation="0" wrapText="0" indent="0" relativeIndent="255" justifyLastLine="0" shrinkToFit="0" readingOrder="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none">
          <fgColor indexed="64"/>
          <bgColor auto="1"/>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none">
          <fgColor indexed="64"/>
          <bgColor auto="1"/>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none">
          <fgColor indexed="64"/>
          <bgColor auto="1"/>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none">
          <fgColor indexed="64"/>
          <bgColor auto="1"/>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none">
          <fgColor indexed="64"/>
          <bgColor auto="1"/>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0" indent="0" relativeIndent="255" justifyLastLine="0" shrinkToFit="0" readingOrder="0"/>
    </dxf>
    <dxf>
      <border outline="0">
        <top style="medium">
          <color theme="1"/>
        </top>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0" indent="0" relativeIndent="255" justifyLastLine="0" shrinkToFit="0" readingOrder="0"/>
    </dxf>
    <dxf>
      <border outline="0">
        <bottom style="medium">
          <color theme="1"/>
        </bottom>
      </border>
    </dxf>
    <dxf>
      <font>
        <b/>
        <i val="0"/>
        <strike val="0"/>
        <condense val="0"/>
        <extend val="0"/>
        <outline val="0"/>
        <shadow val="0"/>
        <u val="none"/>
        <vertAlign val="baseline"/>
        <sz val="11"/>
        <color theme="0"/>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minor"/>
      </font>
      <numFmt numFmtId="4" formatCode="#,##0.00"/>
      <fill>
        <patternFill patternType="none">
          <fgColor indexed="64"/>
          <bgColor auto="1"/>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minor"/>
      </font>
      <numFmt numFmtId="4" formatCode="#,##0.00"/>
      <fill>
        <patternFill patternType="none">
          <fgColor indexed="64"/>
          <bgColor auto="1"/>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minor"/>
      </font>
      <numFmt numFmtId="4" formatCode="#,##0.00"/>
      <fill>
        <patternFill patternType="none">
          <fgColor indexed="64"/>
          <bgColor auto="1"/>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minor"/>
      </font>
      <numFmt numFmtId="3" formatCode="#,##0"/>
      <fill>
        <patternFill patternType="none">
          <fgColor indexed="64"/>
          <bgColor auto="1"/>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minor"/>
      </font>
      <numFmt numFmtId="3" formatCode="#,##0"/>
      <fill>
        <patternFill patternType="none">
          <fgColor indexed="64"/>
          <bgColor auto="1"/>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0" indent="0" relativeIndent="255" justifyLastLine="0" shrinkToFit="0" readingOrder="0"/>
    </dxf>
    <dxf>
      <border outline="0">
        <top style="medium">
          <color theme="1"/>
        </top>
        <bottom style="medium">
          <color theme="1"/>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0" indent="0" relativeIndent="255" justifyLastLine="0" shrinkToFit="0" readingOrder="0"/>
    </dxf>
    <dxf>
      <border outline="0">
        <bottom style="medium">
          <color theme="1"/>
        </bottom>
      </border>
    </dxf>
    <dxf>
      <font>
        <b/>
        <i val="0"/>
        <strike val="0"/>
        <condense val="0"/>
        <extend val="0"/>
        <outline val="0"/>
        <shadow val="0"/>
        <u val="none"/>
        <vertAlign val="baseline"/>
        <sz val="11"/>
        <color theme="0"/>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numFmt numFmtId="4" formatCode="#,##0.00"/>
      <fill>
        <patternFill patternType="none">
          <fgColor indexed="64"/>
          <bgColor auto="1"/>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minor"/>
      </font>
      <numFmt numFmtId="4" formatCode="#,##0.00"/>
      <fill>
        <patternFill patternType="none">
          <fgColor indexed="64"/>
          <bgColor auto="1"/>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minor"/>
      </font>
      <numFmt numFmtId="4" formatCode="#,##0.00"/>
      <fill>
        <patternFill patternType="none">
          <fgColor indexed="64"/>
          <bgColor auto="1"/>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minor"/>
      </font>
      <numFmt numFmtId="4" formatCode="#,##0.00"/>
      <fill>
        <patternFill patternType="none">
          <fgColor indexed="64"/>
          <bgColor auto="1"/>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minor"/>
      </font>
      <numFmt numFmtId="3" formatCode="#,##0"/>
      <fill>
        <patternFill patternType="none">
          <fgColor indexed="64"/>
          <bgColor auto="1"/>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minor"/>
      </font>
      <numFmt numFmtId="4" formatCode="#,##0.00"/>
      <fill>
        <patternFill patternType="none">
          <fgColor indexed="64"/>
          <bgColor auto="1"/>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0" indent="0" relativeIndent="255" justifyLastLine="0" shrinkToFit="0" readingOrder="0"/>
    </dxf>
    <dxf>
      <border outline="0">
        <top style="medium">
          <color theme="1"/>
        </top>
        <bottom style="medium">
          <color theme="1"/>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0" indent="0" relativeIndent="255" justifyLastLine="0" shrinkToFit="0" readingOrder="0"/>
    </dxf>
    <dxf>
      <border outline="0">
        <bottom style="medium">
          <color theme="1"/>
        </bottom>
      </border>
    </dxf>
    <dxf>
      <font>
        <b/>
        <i val="0"/>
        <strike val="0"/>
        <condense val="0"/>
        <extend val="0"/>
        <outline val="0"/>
        <shadow val="0"/>
        <u val="none"/>
        <vertAlign val="baseline"/>
        <sz val="11"/>
        <color theme="0"/>
        <name val="Calibri"/>
        <scheme val="minor"/>
      </font>
      <fill>
        <patternFill patternType="none">
          <fgColor indexed="64"/>
          <bgColor auto="1"/>
        </patternFill>
      </fill>
    </dxf>
    <dxf>
      <font>
        <b val="0"/>
        <i val="0"/>
        <strike val="0"/>
        <condense val="0"/>
        <extend val="0"/>
        <outline val="0"/>
        <shadow val="0"/>
        <u val="none"/>
        <vertAlign val="baseline"/>
        <sz val="11"/>
        <color rgb="FF000000"/>
        <name val="Arial"/>
        <scheme val="none"/>
      </font>
      <fill>
        <patternFill patternType="none">
          <fgColor indexed="64"/>
          <bgColor auto="1"/>
        </patternFill>
      </fill>
      <alignment horizontal="general" vertical="center" textRotation="0" wrapText="0" indent="0" relativeIndent="255" justifyLastLine="0" shrinkToFit="0" readingOrder="0"/>
    </dxf>
    <dxf>
      <font>
        <b val="0"/>
        <i val="0"/>
        <strike val="0"/>
        <condense val="0"/>
        <extend val="0"/>
        <outline val="0"/>
        <shadow val="0"/>
        <u val="none"/>
        <vertAlign val="baseline"/>
        <sz val="12"/>
        <color rgb="FF000000"/>
        <name val="Arial"/>
        <scheme val="none"/>
      </font>
      <numFmt numFmtId="0" formatCode="General"/>
      <fill>
        <patternFill patternType="none">
          <fgColor rgb="FF000000"/>
          <bgColor auto="1"/>
        </patternFill>
      </fill>
      <alignment horizontal="general" vertical="center" textRotation="0" wrapText="1" indent="0" relativeIndent="255" justifyLastLine="0" shrinkToFit="0" readingOrder="0"/>
    </dxf>
    <dxf>
      <font>
        <b val="0"/>
        <i val="0"/>
        <strike val="0"/>
        <condense val="0"/>
        <extend val="0"/>
        <outline val="0"/>
        <shadow val="0"/>
        <u val="none"/>
        <vertAlign val="baseline"/>
        <sz val="11"/>
        <color rgb="FF000000"/>
        <name val="Arial"/>
        <scheme val="none"/>
      </font>
      <fill>
        <patternFill patternType="none">
          <fgColor indexed="64"/>
          <bgColor auto="1"/>
        </patternFill>
      </fill>
      <alignment horizontal="general" vertical="center" textRotation="0" wrapText="0" indent="0" relativeIndent="255" justifyLastLine="0" shrinkToFit="0" readingOrder="0"/>
    </dxf>
    <dxf>
      <font>
        <b val="0"/>
        <i val="0"/>
        <strike val="0"/>
        <condense val="0"/>
        <extend val="0"/>
        <outline val="0"/>
        <shadow val="0"/>
        <u val="none"/>
        <vertAlign val="baseline"/>
        <sz val="12"/>
        <color rgb="FF000000"/>
        <name val="Arial"/>
        <scheme val="none"/>
      </font>
      <numFmt numFmtId="0" formatCode="General"/>
      <fill>
        <patternFill patternType="none">
          <fgColor rgb="FF000000"/>
          <bgColor auto="1"/>
        </patternFill>
      </fill>
      <alignment horizontal="center" vertical="center" textRotation="0" wrapText="1" indent="0" relativeIndent="255" justifyLastLine="0" shrinkToFit="0" readingOrder="0"/>
    </dxf>
    <dxf>
      <font>
        <b val="0"/>
        <i val="0"/>
        <strike val="0"/>
        <condense val="0"/>
        <extend val="0"/>
        <outline val="0"/>
        <shadow val="0"/>
        <u val="none"/>
        <vertAlign val="baseline"/>
        <sz val="11"/>
        <color rgb="FF000000"/>
        <name val="Arial"/>
        <scheme val="none"/>
      </font>
      <fill>
        <patternFill patternType="none">
          <fgColor indexed="64"/>
          <bgColor auto="1"/>
        </patternFill>
      </fill>
      <alignment horizontal="general" vertical="center" textRotation="0" wrapText="0" indent="0" relativeIndent="255" justifyLastLine="0" shrinkToFit="0" readingOrder="0"/>
    </dxf>
    <dxf>
      <font>
        <b val="0"/>
        <i val="0"/>
        <strike val="0"/>
        <condense val="0"/>
        <extend val="0"/>
        <outline val="0"/>
        <shadow val="0"/>
        <u val="none"/>
        <vertAlign val="baseline"/>
        <sz val="12"/>
        <color rgb="FF000000"/>
        <name val="Arial"/>
        <scheme val="none"/>
      </font>
      <numFmt numFmtId="166" formatCode="_-* #,##0\ _D_H_-;\-* #,##0\ _D_H_-;_-* &quot;-&quot;??\ _D_H_-;_-@_-"/>
      <fill>
        <patternFill patternType="none">
          <fgColor indexed="64"/>
          <bgColor indexed="65"/>
        </patternFill>
      </fill>
      <alignment horizontal="general" vertical="center" textRotation="0" wrapText="1" indent="0" relativeIndent="255" justifyLastLine="0" shrinkToFit="0" readingOrder="0"/>
    </dxf>
    <dxf>
      <font>
        <b val="0"/>
        <i val="0"/>
        <strike val="0"/>
        <condense val="0"/>
        <extend val="0"/>
        <outline val="0"/>
        <shadow val="0"/>
        <u val="none"/>
        <vertAlign val="baseline"/>
        <sz val="11"/>
        <color rgb="FF000000"/>
        <name val="Arial"/>
        <scheme val="none"/>
      </font>
      <fill>
        <patternFill patternType="none">
          <fgColor indexed="64"/>
          <bgColor auto="1"/>
        </patternFill>
      </fill>
      <alignment horizontal="general" vertical="center" textRotation="0" wrapText="0" indent="0" relativeIndent="255" justifyLastLine="0" shrinkToFit="0" readingOrder="0"/>
    </dxf>
    <dxf>
      <font>
        <b val="0"/>
        <i val="0"/>
        <strike val="0"/>
        <condense val="0"/>
        <extend val="0"/>
        <outline val="0"/>
        <shadow val="0"/>
        <u val="none"/>
        <vertAlign val="baseline"/>
        <sz val="12"/>
        <color rgb="FF000000"/>
        <name val="Arial"/>
        <scheme val="none"/>
      </font>
      <numFmt numFmtId="166" formatCode="_-* #,##0\ _D_H_-;\-* #,##0\ _D_H_-;_-* &quot;-&quot;??\ _D_H_-;_-@_-"/>
      <fill>
        <patternFill patternType="none">
          <fgColor indexed="64"/>
          <bgColor indexed="65"/>
        </patternFill>
      </fill>
      <alignment horizontal="general" vertical="center" textRotation="0" wrapText="1" indent="0" relativeIndent="255" justifyLastLine="0" shrinkToFit="0" readingOrder="0"/>
    </dxf>
    <dxf>
      <font>
        <b val="0"/>
        <i val="0"/>
        <strike val="0"/>
        <condense val="0"/>
        <extend val="0"/>
        <outline val="0"/>
        <shadow val="0"/>
        <u val="none"/>
        <vertAlign val="baseline"/>
        <sz val="11"/>
        <color rgb="FF000000"/>
        <name val="Arial"/>
        <scheme val="none"/>
      </font>
      <fill>
        <patternFill patternType="none">
          <fgColor indexed="64"/>
          <bgColor auto="1"/>
        </patternFill>
      </fill>
      <alignment horizontal="general" vertical="center" textRotation="0" wrapText="0" indent="0" relativeIndent="255" justifyLastLine="0" shrinkToFit="0" readingOrder="0"/>
    </dxf>
    <dxf>
      <font>
        <b val="0"/>
        <i val="0"/>
        <strike val="0"/>
        <condense val="0"/>
        <extend val="0"/>
        <outline val="0"/>
        <shadow val="0"/>
        <u val="none"/>
        <vertAlign val="baseline"/>
        <sz val="12"/>
        <color rgb="FF000000"/>
        <name val="Arial"/>
        <scheme val="none"/>
      </font>
      <fill>
        <patternFill patternType="none">
          <fgColor indexed="64"/>
          <bgColor indexed="65"/>
        </patternFill>
      </fill>
      <alignment horizontal="center" vertical="center" textRotation="0" wrapText="1" indent="0" relativeIndent="255" justifyLastLine="0" shrinkToFit="0" readingOrder="0"/>
    </dxf>
    <dxf>
      <font>
        <b val="0"/>
        <i val="0"/>
        <strike val="0"/>
        <condense val="0"/>
        <extend val="0"/>
        <outline val="0"/>
        <shadow val="0"/>
        <u val="none"/>
        <vertAlign val="baseline"/>
        <sz val="11"/>
        <color rgb="FF000000"/>
        <name val="Arial"/>
        <scheme val="none"/>
      </font>
      <fill>
        <patternFill patternType="none">
          <fgColor indexed="64"/>
          <bgColor auto="1"/>
        </patternFill>
      </fill>
      <alignment horizontal="general" vertical="center" textRotation="0" wrapText="0" indent="0" relativeIndent="255" justifyLastLine="0" shrinkToFit="0" readingOrder="0"/>
    </dxf>
    <dxf>
      <font>
        <b val="0"/>
        <i val="0"/>
        <strike val="0"/>
        <condense val="0"/>
        <extend val="0"/>
        <outline val="0"/>
        <shadow val="0"/>
        <u val="none"/>
        <vertAlign val="baseline"/>
        <sz val="12"/>
        <color rgb="FF000000"/>
        <name val="Arial"/>
        <scheme val="none"/>
      </font>
      <numFmt numFmtId="166" formatCode="_-* #,##0\ _D_H_-;\-* #,##0\ _D_H_-;_-* &quot;-&quot;??\ _D_H_-;_-@_-"/>
      <fill>
        <patternFill patternType="none">
          <fgColor indexed="64"/>
          <bgColor indexed="65"/>
        </patternFill>
      </fill>
      <alignment horizontal="center" vertical="center" textRotation="0" wrapText="1" indent="0" relativeIndent="255" justifyLastLine="0" shrinkToFit="0" readingOrder="0"/>
    </dxf>
    <dxf>
      <font>
        <b val="0"/>
        <i val="0"/>
        <strike val="0"/>
        <condense val="0"/>
        <extend val="0"/>
        <outline val="0"/>
        <shadow val="0"/>
        <u val="none"/>
        <vertAlign val="baseline"/>
        <sz val="11"/>
        <color rgb="FF000000"/>
        <name val="Arial"/>
        <scheme val="none"/>
      </font>
      <fill>
        <patternFill patternType="none">
          <fgColor indexed="64"/>
          <bgColor auto="1"/>
        </patternFill>
      </fill>
      <alignment horizontal="general" vertical="center" textRotation="0" wrapText="0" indent="0" relativeIndent="255" justifyLastLine="0" shrinkToFit="0" readingOrder="0"/>
    </dxf>
    <dxf>
      <font>
        <b val="0"/>
        <i val="0"/>
        <strike val="0"/>
        <condense val="0"/>
        <extend val="0"/>
        <outline val="0"/>
        <shadow val="0"/>
        <u val="none"/>
        <vertAlign val="baseline"/>
        <sz val="12"/>
        <color rgb="FF000000"/>
        <name val="Arial"/>
        <scheme val="none"/>
      </font>
      <numFmt numFmtId="166" formatCode="_-* #,##0\ _D_H_-;\-* #,##0\ _D_H_-;_-* &quot;-&quot;??\ _D_H_-;_-@_-"/>
      <fill>
        <patternFill patternType="none">
          <fgColor indexed="64"/>
          <bgColor indexed="65"/>
        </patternFill>
      </fill>
      <alignment horizontal="center" vertical="center" textRotation="0" wrapText="1" indent="0" relativeIndent="255" justifyLastLine="0" shrinkToFit="0" readingOrder="0"/>
    </dxf>
    <dxf>
      <font>
        <b val="0"/>
        <i val="0"/>
        <strike val="0"/>
        <condense val="0"/>
        <extend val="0"/>
        <outline val="0"/>
        <shadow val="0"/>
        <u val="none"/>
        <vertAlign val="baseline"/>
        <sz val="11"/>
        <color rgb="FF000000"/>
        <name val="Arial"/>
        <scheme val="none"/>
      </font>
      <fill>
        <patternFill patternType="none">
          <fgColor indexed="64"/>
          <bgColor indexed="65"/>
        </patternFill>
      </fill>
      <alignment horizontal="general" vertical="center" textRotation="0" wrapText="0" indent="0" relativeIndent="255" justifyLastLine="0" shrinkToFit="0" readingOrder="0"/>
    </dxf>
    <dxf>
      <font>
        <b val="0"/>
        <i val="0"/>
        <strike val="0"/>
        <condense val="0"/>
        <extend val="0"/>
        <outline val="0"/>
        <shadow val="0"/>
        <u val="none"/>
        <vertAlign val="baseline"/>
        <sz val="12"/>
        <color rgb="FF000000"/>
        <name val="Arial"/>
        <scheme val="none"/>
      </font>
      <numFmt numFmtId="0" formatCode="General"/>
      <fill>
        <patternFill patternType="none">
          <fgColor indexed="64"/>
          <bgColor indexed="65"/>
        </patternFill>
      </fill>
      <alignment horizontal="center" vertical="center" textRotation="0" wrapText="1" indent="0" relativeIndent="255" justifyLastLine="0" shrinkToFit="0" readingOrder="0"/>
    </dxf>
    <dxf>
      <font>
        <b val="0"/>
        <i val="0"/>
        <strike val="0"/>
        <condense val="0"/>
        <extend val="0"/>
        <outline val="0"/>
        <shadow val="0"/>
        <u val="none"/>
        <vertAlign val="baseline"/>
        <sz val="11"/>
        <color rgb="FF000000"/>
        <name val="Arial"/>
        <scheme val="none"/>
      </font>
      <fill>
        <patternFill patternType="none">
          <fgColor indexed="64"/>
          <bgColor auto="1"/>
        </patternFill>
      </fill>
      <alignment horizontal="general" vertical="center" textRotation="0" wrapText="0" indent="0" relativeIndent="255" justifyLastLine="0" shrinkToFit="0" readingOrder="0"/>
    </dxf>
    <dxf>
      <font>
        <b val="0"/>
        <i val="0"/>
        <strike val="0"/>
        <condense val="0"/>
        <extend val="0"/>
        <outline val="0"/>
        <shadow val="0"/>
        <u val="none"/>
        <vertAlign val="baseline"/>
        <sz val="12"/>
        <color rgb="FF000000"/>
        <name val="Arial"/>
        <scheme val="none"/>
      </font>
      <numFmt numFmtId="19" formatCode="dd/mm/yyyy"/>
      <fill>
        <patternFill patternType="none">
          <fgColor indexed="64"/>
          <bgColor indexed="65"/>
        </patternFill>
      </fill>
      <alignment horizontal="general" vertical="center" textRotation="0" wrapText="1" indent="0" relativeIndent="255" justifyLastLine="0" shrinkToFit="0" readingOrder="0"/>
    </dxf>
    <dxf>
      <font>
        <b val="0"/>
        <i val="0"/>
        <strike val="0"/>
        <condense val="0"/>
        <extend val="0"/>
        <outline val="0"/>
        <shadow val="0"/>
        <u val="none"/>
        <vertAlign val="baseline"/>
        <sz val="11"/>
        <color rgb="FF000000"/>
        <name val="Arial"/>
        <scheme val="none"/>
      </font>
      <fill>
        <patternFill patternType="none">
          <fgColor indexed="64"/>
          <bgColor indexed="65"/>
        </patternFill>
      </fill>
      <alignment horizontal="general" vertical="center" textRotation="0" wrapText="0" indent="0" relativeIndent="255" justifyLastLine="0" shrinkToFit="0" readingOrder="0"/>
    </dxf>
    <dxf>
      <font>
        <b val="0"/>
        <i val="0"/>
        <strike val="0"/>
        <condense val="0"/>
        <extend val="0"/>
        <outline val="0"/>
        <shadow val="0"/>
        <u val="none"/>
        <vertAlign val="baseline"/>
        <sz val="12"/>
        <color rgb="FF000000"/>
        <name val="Arial"/>
        <scheme val="none"/>
      </font>
      <fill>
        <patternFill patternType="none">
          <fgColor indexed="64"/>
          <bgColor indexed="65"/>
        </patternFill>
      </fill>
      <alignment horizontal="center" vertical="center" textRotation="0" wrapText="1" indent="0" relativeIndent="255" justifyLastLine="0" shrinkToFit="0" readingOrder="0"/>
    </dxf>
    <dxf>
      <font>
        <b val="0"/>
        <i val="0"/>
        <strike val="0"/>
        <condense val="0"/>
        <extend val="0"/>
        <outline val="0"/>
        <shadow val="0"/>
        <u val="none"/>
        <vertAlign val="baseline"/>
        <sz val="12"/>
        <color rgb="FF000000"/>
        <name val="Arial"/>
        <scheme val="none"/>
      </font>
      <alignment horizontal="general" vertical="center" textRotation="0" wrapText="1" indent="0" relativeIndent="255" justifyLastLine="0" shrinkToFit="0" readingOrder="0"/>
    </dxf>
    <dxf>
      <font>
        <b val="0"/>
        <i val="0"/>
        <strike val="0"/>
        <condense val="0"/>
        <extend val="0"/>
        <outline val="0"/>
        <shadow val="0"/>
        <u val="none"/>
        <vertAlign val="baseline"/>
        <sz val="12"/>
        <color rgb="FF000000"/>
        <name val="Arial"/>
        <scheme val="none"/>
      </font>
      <alignment horizontal="general" vertical="center" textRotation="0" wrapText="1" indent="0" relativeIndent="255" justifyLastLine="0" shrinkToFit="0" readingOrder="0"/>
    </dxf>
    <dxf>
      <font>
        <b val="0"/>
        <i val="0"/>
        <strike val="0"/>
        <condense val="0"/>
        <extend val="0"/>
        <outline val="0"/>
        <shadow val="0"/>
        <u val="none"/>
        <vertAlign val="baseline"/>
        <sz val="11"/>
        <color rgb="FF000000"/>
        <name val="Arial"/>
        <scheme val="none"/>
      </font>
      <fill>
        <patternFill patternType="none">
          <fgColor indexed="64"/>
          <bgColor auto="1"/>
        </patternFill>
      </fill>
      <alignment horizontal="general" vertical="center" textRotation="0" wrapText="0" indent="0" relativeIndent="255" justifyLastLine="0" shrinkToFit="0" readingOrder="0"/>
    </dxf>
    <dxf>
      <font>
        <b val="0"/>
        <i val="0"/>
        <strike val="0"/>
        <condense val="0"/>
        <extend val="0"/>
        <outline val="0"/>
        <shadow val="0"/>
        <u val="none"/>
        <vertAlign val="baseline"/>
        <sz val="12"/>
        <color rgb="FF000000"/>
        <name val="Arial"/>
        <scheme val="none"/>
      </font>
      <fill>
        <patternFill patternType="none">
          <fgColor indexed="64"/>
          <bgColor indexed="65"/>
        </patternFill>
      </fill>
      <alignment horizontal="general" vertical="center" textRotation="0" wrapText="1" indent="0" relativeIndent="255" justifyLastLine="0" shrinkToFit="0" readingOrder="0"/>
    </dxf>
    <dxf>
      <font>
        <b val="0"/>
        <i val="0"/>
        <strike val="0"/>
        <condense val="0"/>
        <extend val="0"/>
        <outline val="0"/>
        <shadow val="0"/>
        <u val="none"/>
        <vertAlign val="baseline"/>
        <sz val="11"/>
        <color rgb="FF000000"/>
        <name val="Arial"/>
        <scheme val="none"/>
      </font>
      <fill>
        <patternFill patternType="none">
          <fgColor indexed="64"/>
          <bgColor auto="1"/>
        </patternFill>
      </fill>
      <alignment horizontal="general" vertical="center" textRotation="0" wrapText="0" indent="0" relativeIndent="255" justifyLastLine="0" shrinkToFit="0" readingOrder="0"/>
    </dxf>
    <dxf>
      <font>
        <b val="0"/>
        <i val="0"/>
        <strike val="0"/>
        <condense val="0"/>
        <extend val="0"/>
        <outline val="0"/>
        <shadow val="0"/>
        <u val="none"/>
        <vertAlign val="baseline"/>
        <sz val="12"/>
        <color rgb="FF000000"/>
        <name val="Arial"/>
        <scheme val="none"/>
      </font>
      <numFmt numFmtId="0" formatCode="General"/>
      <fill>
        <patternFill patternType="none">
          <fgColor indexed="64"/>
          <bgColor indexed="65"/>
        </patternFill>
      </fill>
      <alignment horizontal="center" vertical="center" textRotation="0" wrapText="1" indent="0" relativeIndent="255" justifyLastLine="0" shrinkToFit="0" readingOrder="0"/>
    </dxf>
    <dxf>
      <font>
        <b val="0"/>
        <i val="0"/>
        <strike val="0"/>
        <condense val="0"/>
        <extend val="0"/>
        <outline val="0"/>
        <shadow val="0"/>
        <u val="none"/>
        <vertAlign val="baseline"/>
        <sz val="11"/>
        <color rgb="FF000000"/>
        <name val="Arial"/>
        <scheme val="none"/>
      </font>
      <fill>
        <patternFill patternType="none">
          <fgColor indexed="64"/>
          <bgColor auto="1"/>
        </patternFill>
      </fill>
      <alignment horizontal="general" vertical="center" textRotation="0" wrapText="0" indent="0" relativeIndent="255" justifyLastLine="0" shrinkToFit="0" readingOrder="0"/>
    </dxf>
    <dxf>
      <font>
        <b val="0"/>
        <i val="0"/>
        <strike val="0"/>
        <condense val="0"/>
        <extend val="0"/>
        <outline val="0"/>
        <shadow val="0"/>
        <u val="none"/>
        <vertAlign val="baseline"/>
        <sz val="12"/>
        <color rgb="FF000000"/>
        <name val="Arial"/>
        <scheme val="none"/>
      </font>
      <numFmt numFmtId="0" formatCode="General"/>
      <fill>
        <patternFill patternType="none">
          <fgColor indexed="64"/>
          <bgColor indexed="65"/>
        </patternFill>
      </fill>
      <alignment horizontal="center" vertical="center" textRotation="0" wrapText="1" indent="0" relativeIndent="255" justifyLastLine="0" shrinkToFit="0" readingOrder="0"/>
    </dxf>
    <dxf>
      <font>
        <b val="0"/>
        <i val="0"/>
        <strike val="0"/>
        <condense val="0"/>
        <extend val="0"/>
        <outline val="0"/>
        <shadow val="0"/>
        <u val="none"/>
        <vertAlign val="baseline"/>
        <sz val="11"/>
        <color rgb="FF000000"/>
        <name val="Arial"/>
        <scheme val="none"/>
      </font>
      <fill>
        <patternFill patternType="none">
          <fgColor indexed="64"/>
          <bgColor auto="1"/>
        </patternFill>
      </fill>
      <alignment horizontal="general" vertical="center" textRotation="0" wrapText="0" indent="0" relativeIndent="255" justifyLastLine="0" shrinkToFit="0" readingOrder="0"/>
    </dxf>
    <dxf>
      <font>
        <b val="0"/>
        <i val="0"/>
        <strike val="0"/>
        <condense val="0"/>
        <extend val="0"/>
        <outline val="0"/>
        <shadow val="0"/>
        <u val="none"/>
        <vertAlign val="baseline"/>
        <sz val="12"/>
        <color rgb="FF000000"/>
        <name val="Arial"/>
        <scheme val="none"/>
      </font>
      <numFmt numFmtId="0" formatCode="General"/>
      <fill>
        <patternFill patternType="none">
          <fgColor indexed="64"/>
          <bgColor indexed="65"/>
        </patternFill>
      </fill>
      <alignment horizontal="general" vertical="center" textRotation="0" wrapText="1" indent="0" relativeIndent="255" justifyLastLine="0" shrinkToFit="0" readingOrder="0"/>
    </dxf>
    <dxf>
      <font>
        <b val="0"/>
        <i val="0"/>
        <strike val="0"/>
        <condense val="0"/>
        <extend val="0"/>
        <outline val="0"/>
        <shadow val="0"/>
        <u val="none"/>
        <vertAlign val="baseline"/>
        <sz val="11"/>
        <color rgb="FF000000"/>
        <name val="Arial"/>
        <scheme val="none"/>
      </font>
      <fill>
        <patternFill patternType="none">
          <fgColor indexed="64"/>
          <bgColor auto="1"/>
        </patternFill>
      </fill>
      <alignment horizontal="general" vertical="center" textRotation="0" wrapText="0" indent="0" relativeIndent="255" justifyLastLine="0" shrinkToFit="0" readingOrder="0"/>
    </dxf>
    <dxf>
      <font>
        <b val="0"/>
        <i val="0"/>
        <strike val="0"/>
        <condense val="0"/>
        <extend val="0"/>
        <outline val="0"/>
        <shadow val="0"/>
        <u val="none"/>
        <vertAlign val="baseline"/>
        <sz val="12"/>
        <color rgb="FF000000"/>
        <name val="Arial"/>
        <scheme val="none"/>
      </font>
      <numFmt numFmtId="0" formatCode="General"/>
      <fill>
        <patternFill patternType="none">
          <fgColor indexed="64"/>
          <bgColor indexed="65"/>
        </patternFill>
      </fill>
      <alignment horizontal="left" vertical="center" textRotation="0" wrapText="1" indent="0" relativeIndent="255" justifyLastLine="0" shrinkToFit="0" readingOrder="0"/>
    </dxf>
    <dxf>
      <font>
        <b val="0"/>
        <i val="0"/>
        <strike val="0"/>
        <condense val="0"/>
        <extend val="0"/>
        <outline val="0"/>
        <shadow val="0"/>
        <u val="none"/>
        <vertAlign val="baseline"/>
        <sz val="11"/>
        <color rgb="FF000000"/>
        <name val="Arial"/>
        <scheme val="none"/>
      </font>
      <fill>
        <patternFill patternType="none">
          <fgColor indexed="64"/>
          <bgColor indexed="65"/>
        </patternFill>
      </fill>
      <alignment horizontal="general" vertical="center" textRotation="0" wrapText="0" indent="0" relativeIndent="255" justifyLastLine="0" shrinkToFit="0" readingOrder="0"/>
    </dxf>
    <dxf>
      <font>
        <b val="0"/>
        <i val="0"/>
        <strike val="0"/>
        <condense val="0"/>
        <extend val="0"/>
        <outline val="0"/>
        <shadow val="0"/>
        <u val="none"/>
        <vertAlign val="baseline"/>
        <sz val="12"/>
        <color rgb="FF000000"/>
        <name val="Arial"/>
        <scheme val="none"/>
      </font>
      <numFmt numFmtId="0" formatCode="General"/>
      <fill>
        <patternFill patternType="none">
          <fgColor indexed="64"/>
          <bgColor indexed="65"/>
        </patternFill>
      </fill>
      <alignment horizontal="center" vertical="center" textRotation="0" wrapText="1" indent="0" relativeIndent="255" justifyLastLine="0" shrinkToFit="0" readingOrder="0"/>
    </dxf>
    <dxf>
      <font>
        <b val="0"/>
        <i val="0"/>
        <strike val="0"/>
        <condense val="0"/>
        <extend val="0"/>
        <outline val="0"/>
        <shadow val="0"/>
        <u val="none"/>
        <vertAlign val="baseline"/>
        <sz val="11"/>
        <color rgb="FF000000"/>
        <name val="Arial"/>
        <scheme val="none"/>
      </font>
      <fill>
        <patternFill patternType="none">
          <fgColor indexed="64"/>
          <bgColor indexed="65"/>
        </patternFill>
      </fill>
      <alignment horizontal="general" vertical="center" textRotation="0" wrapText="0" indent="0" relativeIndent="255" justifyLastLine="0" shrinkToFit="1" readingOrder="0"/>
      <border diagonalUp="0" diagonalDown="0" outline="0">
        <left/>
        <right style="medium">
          <color indexed="64"/>
        </right>
        <top/>
        <bottom/>
      </border>
    </dxf>
    <dxf>
      <font>
        <b val="0"/>
        <i val="0"/>
        <strike val="0"/>
        <condense val="0"/>
        <extend val="0"/>
        <outline val="0"/>
        <shadow val="0"/>
        <u val="none"/>
        <vertAlign val="baseline"/>
        <sz val="12"/>
        <color rgb="FF000000"/>
        <name val="Arial"/>
        <scheme val="none"/>
      </font>
      <numFmt numFmtId="19" formatCode="dd/mm/yyyy"/>
      <fill>
        <patternFill patternType="none">
          <fgColor indexed="64"/>
          <bgColor indexed="65"/>
        </patternFill>
      </fill>
      <alignment horizontal="center" vertical="center" textRotation="0" wrapText="1" indent="0" relativeIndent="255" justifyLastLine="0" shrinkToFit="1" readingOrder="0"/>
    </dxf>
    <dxf>
      <font>
        <b val="0"/>
        <strike val="0"/>
        <outline val="0"/>
        <shadow val="0"/>
        <u val="none"/>
        <vertAlign val="baseline"/>
        <sz val="12"/>
        <color rgb="FF000000"/>
        <name val="Arial"/>
        <scheme val="none"/>
      </font>
      <fill>
        <patternFill patternType="none">
          <fgColor rgb="FF000000"/>
          <bgColor auto="1"/>
        </patternFill>
      </fill>
      <alignment vertical="center" textRotation="0" wrapText="1" indent="0" relativeIndent="255"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theme="0"/>
        <name val="Arial"/>
        <scheme val="none"/>
      </font>
      <fill>
        <patternFill patternType="none">
          <fgColor indexed="64"/>
          <bgColor auto="1"/>
        </patternFill>
      </fill>
      <alignment horizontal="center" vertical="center" textRotation="0" wrapText="1" indent="0" relativeIndent="255" justifyLastLine="0" shrinkToFit="0" readingOrder="0"/>
      <border diagonalUp="0" diagonalDown="0" outline="0">
        <left style="thin">
          <color indexed="64"/>
        </left>
        <right style="thin">
          <color indexed="64"/>
        </right>
        <top/>
        <bottom/>
      </border>
    </dxf>
    <dxf>
      <font>
        <color theme="1"/>
      </font>
      <fill>
        <patternFill>
          <bgColor theme="9" tint="-0.24994659260841701"/>
        </patternFill>
      </fill>
    </dxf>
    <dxf>
      <font>
        <color rgb="FF006100"/>
      </font>
      <fill>
        <patternFill>
          <bgColor theme="9" tint="-0.24994659260841701"/>
        </patternFill>
      </fill>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rgb="FF000000"/>
        <name val="Arial"/>
        <scheme val="none"/>
      </font>
      <fill>
        <patternFill patternType="none">
          <fgColor indexed="64"/>
          <bgColor auto="1"/>
        </patternFill>
      </fill>
      <alignment horizontal="general" vertical="center" textRotation="0" wrapText="0" indent="0" relativeIndent="255" justifyLastLine="0" shrinkToFit="1" readingOrder="0"/>
      <border diagonalUp="0" diagonalDown="0">
        <left style="medium">
          <color indexed="64"/>
        </left>
        <right/>
        <top style="medium">
          <color indexed="64"/>
        </top>
        <bottom style="medium">
          <color indexed="64"/>
        </bottom>
      </border>
    </dxf>
    <dxf>
      <font>
        <b val="0"/>
        <i val="0"/>
        <strike val="0"/>
        <condense val="0"/>
        <extend val="0"/>
        <outline val="0"/>
        <shadow val="0"/>
        <u val="none"/>
        <vertAlign val="baseline"/>
        <sz val="11"/>
        <color rgb="FF000000"/>
        <name val="Arial"/>
        <scheme val="none"/>
      </font>
      <numFmt numFmtId="164" formatCode="[$-F400]h:mm:ss\ AM/PM"/>
      <fill>
        <patternFill patternType="none">
          <fgColor indexed="64"/>
          <bgColor indexed="65"/>
        </patternFill>
      </fill>
      <alignment horizontal="general" vertical="center" textRotation="0" wrapText="0" indent="0" relativeIndent="255" justifyLastLine="0" shrinkToFit="1"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scheme val="none"/>
      </font>
      <fill>
        <patternFill patternType="none">
          <fgColor indexed="64"/>
          <bgColor auto="1"/>
        </patternFill>
      </fill>
      <alignment horizontal="general" vertical="center" textRotation="0" wrapText="0" indent="0" relativeIndent="255" justifyLastLine="0" shrinkToFit="1" readingOrder="0"/>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rgb="FF000000"/>
        <name val="Arial"/>
        <scheme val="none"/>
      </font>
      <fill>
        <patternFill patternType="none">
          <fgColor indexed="64"/>
          <bgColor auto="1"/>
        </patternFill>
      </fill>
      <alignment horizontal="general" vertical="center" textRotation="0" wrapText="0" indent="0" relativeIndent="255" justifyLastLine="0" shrinkToFit="1" readingOrder="0"/>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rgb="FF000000"/>
        <name val="Arial"/>
        <scheme val="none"/>
      </font>
      <fill>
        <patternFill patternType="none">
          <fgColor indexed="64"/>
          <bgColor auto="1"/>
        </patternFill>
      </fill>
      <alignment horizontal="general" vertical="center" textRotation="0" wrapText="0" indent="0" relativeIndent="255" justifyLastLine="0" shrinkToFit="1" readingOrder="0"/>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rgb="FF000000"/>
        <name val="Arial"/>
        <scheme val="none"/>
      </font>
      <numFmt numFmtId="0" formatCode="General"/>
      <fill>
        <patternFill patternType="none">
          <fgColor indexed="64"/>
          <bgColor auto="1"/>
        </patternFill>
      </fill>
      <alignment horizontal="general" vertical="center" textRotation="0" wrapText="0" indent="0" relativeIndent="255" justifyLastLine="0" shrinkToFit="1" readingOrder="0"/>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rgb="FF000000"/>
        <name val="Arial"/>
        <scheme val="none"/>
      </font>
      <fill>
        <patternFill patternType="none">
          <fgColor indexed="64"/>
          <bgColor auto="1"/>
        </patternFill>
      </fill>
      <alignment horizontal="general" vertical="center" textRotation="0" wrapText="0" indent="0" relativeIndent="255" justifyLastLine="0" shrinkToFit="1" readingOrder="0"/>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rgb="FF000000"/>
        <name val="Arial"/>
        <scheme val="none"/>
      </font>
      <numFmt numFmtId="0" formatCode="General"/>
      <fill>
        <patternFill patternType="none">
          <fgColor indexed="64"/>
          <bgColor auto="1"/>
        </patternFill>
      </fill>
      <alignment horizontal="general" vertical="center" textRotation="0" wrapText="0" indent="0" relativeIndent="255" justifyLastLine="0" shrinkToFit="1" readingOrder="0"/>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rgb="FF000000"/>
        <name val="Arial"/>
        <scheme val="none"/>
      </font>
      <numFmt numFmtId="19" formatCode="dd/mm/yyyy"/>
      <fill>
        <patternFill patternType="none">
          <fgColor indexed="64"/>
          <bgColor auto="1"/>
        </patternFill>
      </fill>
      <alignment horizontal="general" vertical="center" textRotation="0" wrapText="0" indent="0" relativeIndent="255" justifyLastLine="0" shrinkToFit="1" readingOrder="0"/>
      <border diagonalUp="0" diagonalDown="0">
        <left/>
        <right style="medium">
          <color indexed="64"/>
        </right>
        <top style="medium">
          <color indexed="64"/>
        </top>
        <bottom style="medium">
          <color indexed="64"/>
        </bottom>
      </border>
    </dxf>
    <dxf>
      <border outline="0">
        <top style="medium">
          <color indexed="64"/>
        </top>
      </border>
    </dxf>
    <dxf>
      <border outline="0">
        <left style="medium">
          <color indexed="64"/>
        </left>
        <right style="medium">
          <color indexed="64"/>
        </right>
        <top style="medium">
          <color indexed="64"/>
        </top>
        <bottom style="medium">
          <color indexed="64"/>
        </bottom>
      </border>
    </dxf>
    <dxf>
      <font>
        <b val="0"/>
        <strike val="0"/>
        <outline val="0"/>
        <shadow val="0"/>
        <u val="none"/>
        <vertAlign val="baseline"/>
        <sz val="11"/>
        <color rgb="FF000000"/>
        <name val="Arial"/>
        <scheme val="none"/>
      </font>
      <fill>
        <patternFill patternType="none">
          <fgColor indexed="64"/>
          <bgColor auto="1"/>
        </patternFill>
      </fill>
      <alignment textRotation="0" wrapText="0" indent="0" relativeIndent="255" justifyLastLine="0" shrinkToFit="1" readingOrder="0"/>
    </dxf>
    <dxf>
      <border outline="0">
        <bottom style="medium">
          <color indexed="64"/>
        </bottom>
      </border>
    </dxf>
    <dxf>
      <font>
        <b/>
        <i val="0"/>
        <strike val="0"/>
        <condense val="0"/>
        <extend val="0"/>
        <outline val="0"/>
        <shadow val="0"/>
        <u val="none"/>
        <vertAlign val="baseline"/>
        <sz val="11"/>
        <color theme="0"/>
        <name val="Arial"/>
        <scheme val="none"/>
      </font>
      <fill>
        <patternFill patternType="none">
          <fgColor indexed="64"/>
          <bgColor auto="1"/>
        </patternFill>
      </fill>
      <alignment horizontal="left" vertical="center" textRotation="0" wrapText="0" indent="0" relativeIndent="255" justifyLastLine="0" shrinkToFit="1" readingOrder="0"/>
      <border diagonalUp="0" diagonalDown="0">
        <left style="medium">
          <color indexed="64"/>
        </left>
        <right style="medium">
          <color indexed="64"/>
        </right>
        <top/>
        <bottom/>
      </border>
    </dxf>
    <dxf>
      <fill>
        <patternFill>
          <bgColor rgb="FFFFFF00"/>
        </patternFill>
      </fill>
    </dxf>
    <dxf>
      <font>
        <color theme="1"/>
      </font>
      <fill>
        <patternFill>
          <bgColor theme="9" tint="-0.24994659260841701"/>
        </patternFill>
      </fill>
    </dxf>
    <dxf>
      <font>
        <color rgb="FF006100"/>
      </font>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rgb="FFFFFF00"/>
        </patternFill>
      </fill>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c:lang val="fr-FR"/>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MTBF Engins Roulants</a:t>
            </a:r>
          </a:p>
        </c:rich>
      </c:tx>
      <c:spPr>
        <a:noFill/>
        <a:ln>
          <a:noFill/>
        </a:ln>
        <a:effectLst/>
      </c:spPr>
    </c:title>
    <c:plotArea>
      <c:layout/>
      <c:barChart>
        <c:barDir val="bar"/>
        <c:grouping val="clustered"/>
        <c:ser>
          <c:idx val="0"/>
          <c:order val="0"/>
          <c:tx>
            <c:v>MTBF Engins Roulant</c:v>
          </c:tx>
          <c:spPr>
            <a:solidFill>
              <a:schemeClr val="accent1"/>
            </a:solidFill>
            <a:ln>
              <a:noFill/>
            </a:ln>
            <a:effectLst/>
          </c:spPr>
          <c:cat>
            <c:multiLvlStrRef>
              <c:f>'KPI PARC AUTO'!$A$141:$B$153</c:f>
              <c:multiLvlStrCache>
                <c:ptCount val="13"/>
                <c:lvl>
                  <c:pt idx="0">
                    <c:v>Linde H30D</c:v>
                  </c:pt>
                  <c:pt idx="1">
                    <c:v>Manitou M26-2</c:v>
                  </c:pt>
                  <c:pt idx="2">
                    <c:v>Caterpillar</c:v>
                  </c:pt>
                  <c:pt idx="3">
                    <c:v>Fenwick HD30</c:v>
                  </c:pt>
                  <c:pt idx="4">
                    <c:v>Linde H30</c:v>
                  </c:pt>
                  <c:pt idx="5">
                    <c:v>Fenwick LINDE 25</c:v>
                  </c:pt>
                  <c:pt idx="6">
                    <c:v>Manitou MC 30</c:v>
                  </c:pt>
                  <c:pt idx="7">
                    <c:v>Linde H30</c:v>
                  </c:pt>
                  <c:pt idx="8">
                    <c:v>Linde H30</c:v>
                  </c:pt>
                  <c:pt idx="9">
                    <c:v>Fenwick  H40</c:v>
                  </c:pt>
                  <c:pt idx="10">
                    <c:v>Linde H25d</c:v>
                  </c:pt>
                  <c:pt idx="11">
                    <c:v>Linde H30D</c:v>
                  </c:pt>
                  <c:pt idx="12">
                    <c:v>linde h 45</c:v>
                  </c:pt>
                </c:lvl>
                <c:lvl>
                  <c:pt idx="0">
                    <c:v>434</c:v>
                  </c:pt>
                  <c:pt idx="1">
                    <c:v>431</c:v>
                  </c:pt>
                  <c:pt idx="2">
                    <c:v>413</c:v>
                  </c:pt>
                  <c:pt idx="3">
                    <c:v>429</c:v>
                  </c:pt>
                  <c:pt idx="4">
                    <c:v>421</c:v>
                  </c:pt>
                  <c:pt idx="5">
                    <c:v>422</c:v>
                  </c:pt>
                  <c:pt idx="6">
                    <c:v>426</c:v>
                  </c:pt>
                  <c:pt idx="7">
                    <c:v>427</c:v>
                  </c:pt>
                  <c:pt idx="8">
                    <c:v>428</c:v>
                  </c:pt>
                  <c:pt idx="9">
                    <c:v>430</c:v>
                  </c:pt>
                  <c:pt idx="10">
                    <c:v>472</c:v>
                  </c:pt>
                  <c:pt idx="11">
                    <c:v>477</c:v>
                  </c:pt>
                  <c:pt idx="12">
                    <c:v>420</c:v>
                  </c:pt>
                </c:lvl>
              </c:multiLvlStrCache>
            </c:multiLvlStrRef>
          </c:cat>
          <c:val>
            <c:numRef>
              <c:f>'KPI PARC AUTO'!$E$141:$E$153</c:f>
              <c:numCache>
                <c:formatCode>#,##0.00</c:formatCode>
                <c:ptCount val="13"/>
                <c:pt idx="0">
                  <c:v>14040</c:v>
                </c:pt>
                <c:pt idx="1">
                  <c:v>14040</c:v>
                </c:pt>
                <c:pt idx="2">
                  <c:v>14040</c:v>
                </c:pt>
                <c:pt idx="3">
                  <c:v>14040</c:v>
                </c:pt>
                <c:pt idx="4">
                  <c:v>14040</c:v>
                </c:pt>
                <c:pt idx="5">
                  <c:v>14040</c:v>
                </c:pt>
                <c:pt idx="6">
                  <c:v>14040</c:v>
                </c:pt>
                <c:pt idx="7">
                  <c:v>14040</c:v>
                </c:pt>
                <c:pt idx="8">
                  <c:v>14040</c:v>
                </c:pt>
                <c:pt idx="9">
                  <c:v>14040</c:v>
                </c:pt>
                <c:pt idx="10">
                  <c:v>14040</c:v>
                </c:pt>
                <c:pt idx="11">
                  <c:v>14040</c:v>
                </c:pt>
                <c:pt idx="12">
                  <c:v>14040</c:v>
                </c:pt>
              </c:numCache>
            </c:numRef>
          </c:val>
          <c:extLst xmlns:c16r2="http://schemas.microsoft.com/office/drawing/2015/06/chart">
            <c:ext xmlns:c16="http://schemas.microsoft.com/office/drawing/2014/chart" uri="{C3380CC4-5D6E-409C-BE32-E72D297353CC}">
              <c16:uniqueId val="{00000005-0564-441A-8C85-A7F1D69042F5}"/>
            </c:ext>
          </c:extLst>
        </c:ser>
        <c:gapWidth val="219"/>
        <c:axId val="165227136"/>
        <c:axId val="165228928"/>
      </c:barChart>
      <c:catAx>
        <c:axId val="165227136"/>
        <c:scaling>
          <c:orientation val="minMax"/>
        </c:scaling>
        <c:axPos val="l"/>
        <c:numFmt formatCode="General" sourceLinked="1"/>
        <c:maj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crossAx val="165228928"/>
        <c:crosses val="autoZero"/>
        <c:auto val="1"/>
        <c:lblAlgn val="ctr"/>
        <c:lblOffset val="100"/>
      </c:catAx>
      <c:valAx>
        <c:axId val="165228928"/>
        <c:scaling>
          <c:orientation val="minMax"/>
        </c:scaling>
        <c:axPos val="b"/>
        <c:majorGridlines>
          <c:spPr>
            <a:ln w="9525" cap="flat" cmpd="sng" algn="ctr">
              <a:solidFill>
                <a:schemeClr val="tx1">
                  <a:lumMod val="15000"/>
                  <a:lumOff val="85000"/>
                </a:schemeClr>
              </a:solidFill>
              <a:round/>
            </a:ln>
            <a:effectLst/>
          </c:spPr>
        </c:majorGridlines>
        <c:numFmt formatCode="#,##0.00" sourceLinked="1"/>
        <c:maj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crossAx val="165227136"/>
        <c:crosses val="autoZero"/>
        <c:crossBetween val="between"/>
      </c:valAx>
      <c:spPr>
        <a:noFill/>
        <a:ln>
          <a:noFill/>
        </a:ln>
        <a:effectLst/>
      </c:spPr>
    </c:plotArea>
    <c:legend>
      <c:legendPos val="b"/>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pPr>
      <a:endParaRPr lang="fr-FR"/>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fr-FR"/>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Disponibilité des Engins Roulants</a:t>
            </a:r>
          </a:p>
        </c:rich>
      </c:tx>
      <c:spPr>
        <a:noFill/>
        <a:ln>
          <a:noFill/>
        </a:ln>
        <a:effectLst/>
      </c:spPr>
    </c:title>
    <c:plotArea>
      <c:layout/>
      <c:barChart>
        <c:barDir val="col"/>
        <c:grouping val="clustered"/>
        <c:ser>
          <c:idx val="0"/>
          <c:order val="0"/>
          <c:tx>
            <c:v>Disponibilité des engins roulants</c:v>
          </c:tx>
          <c:spPr>
            <a:solidFill>
              <a:schemeClr val="accent1"/>
            </a:solidFill>
            <a:ln>
              <a:noFill/>
            </a:ln>
            <a:effectLst/>
          </c:spPr>
          <c:cat>
            <c:multiLvlStrRef>
              <c:f>'KPI PARC AUTO'!$A$141:$B$153</c:f>
              <c:multiLvlStrCache>
                <c:ptCount val="13"/>
                <c:lvl>
                  <c:pt idx="0">
                    <c:v>Linde H30D</c:v>
                  </c:pt>
                  <c:pt idx="1">
                    <c:v>Manitou M26-2</c:v>
                  </c:pt>
                  <c:pt idx="2">
                    <c:v>Caterpillar</c:v>
                  </c:pt>
                  <c:pt idx="3">
                    <c:v>Fenwick HD30</c:v>
                  </c:pt>
                  <c:pt idx="4">
                    <c:v>Linde H30</c:v>
                  </c:pt>
                  <c:pt idx="5">
                    <c:v>Fenwick LINDE 25</c:v>
                  </c:pt>
                  <c:pt idx="6">
                    <c:v>Manitou MC 30</c:v>
                  </c:pt>
                  <c:pt idx="7">
                    <c:v>Linde H30</c:v>
                  </c:pt>
                  <c:pt idx="8">
                    <c:v>Linde H30</c:v>
                  </c:pt>
                  <c:pt idx="9">
                    <c:v>Fenwick  H40</c:v>
                  </c:pt>
                  <c:pt idx="10">
                    <c:v>Linde H25d</c:v>
                  </c:pt>
                  <c:pt idx="11">
                    <c:v>Linde H30D</c:v>
                  </c:pt>
                  <c:pt idx="12">
                    <c:v>linde h 45</c:v>
                  </c:pt>
                </c:lvl>
                <c:lvl>
                  <c:pt idx="0">
                    <c:v>434</c:v>
                  </c:pt>
                  <c:pt idx="1">
                    <c:v>431</c:v>
                  </c:pt>
                  <c:pt idx="2">
                    <c:v>413</c:v>
                  </c:pt>
                  <c:pt idx="3">
                    <c:v>429</c:v>
                  </c:pt>
                  <c:pt idx="4">
                    <c:v>421</c:v>
                  </c:pt>
                  <c:pt idx="5">
                    <c:v>422</c:v>
                  </c:pt>
                  <c:pt idx="6">
                    <c:v>426</c:v>
                  </c:pt>
                  <c:pt idx="7">
                    <c:v>427</c:v>
                  </c:pt>
                  <c:pt idx="8">
                    <c:v>428</c:v>
                  </c:pt>
                  <c:pt idx="9">
                    <c:v>430</c:v>
                  </c:pt>
                  <c:pt idx="10">
                    <c:v>472</c:v>
                  </c:pt>
                  <c:pt idx="11">
                    <c:v>477</c:v>
                  </c:pt>
                  <c:pt idx="12">
                    <c:v>420</c:v>
                  </c:pt>
                </c:lvl>
              </c:multiLvlStrCache>
            </c:multiLvlStrRef>
          </c:cat>
          <c:val>
            <c:numRef>
              <c:f>'KPI PARC AUTO'!$G$141:$G$153</c:f>
              <c:numCache>
                <c:formatCode>#,##0.00</c:formatCode>
                <c:ptCount val="13"/>
                <c:pt idx="0">
                  <c:v>100</c:v>
                </c:pt>
                <c:pt idx="1">
                  <c:v>100</c:v>
                </c:pt>
                <c:pt idx="2">
                  <c:v>100</c:v>
                </c:pt>
                <c:pt idx="3">
                  <c:v>100</c:v>
                </c:pt>
                <c:pt idx="4">
                  <c:v>0</c:v>
                </c:pt>
                <c:pt idx="5">
                  <c:v>100</c:v>
                </c:pt>
                <c:pt idx="6">
                  <c:v>100</c:v>
                </c:pt>
                <c:pt idx="7">
                  <c:v>100</c:v>
                </c:pt>
                <c:pt idx="8">
                  <c:v>100</c:v>
                </c:pt>
                <c:pt idx="9">
                  <c:v>100</c:v>
                </c:pt>
                <c:pt idx="10">
                  <c:v>100</c:v>
                </c:pt>
                <c:pt idx="11">
                  <c:v>100</c:v>
                </c:pt>
                <c:pt idx="12">
                  <c:v>100</c:v>
                </c:pt>
              </c:numCache>
            </c:numRef>
          </c:val>
          <c:extLst xmlns:c16r2="http://schemas.microsoft.com/office/drawing/2015/06/chart">
            <c:ext xmlns:c16="http://schemas.microsoft.com/office/drawing/2014/chart" uri="{C3380CC4-5D6E-409C-BE32-E72D297353CC}">
              <c16:uniqueId val="{00000000-EB23-48E5-A357-E339758AA4A1}"/>
            </c:ext>
          </c:extLst>
        </c:ser>
        <c:gapWidth val="219"/>
        <c:axId val="165280000"/>
        <c:axId val="165289984"/>
      </c:barChart>
      <c:lineChart>
        <c:grouping val="standard"/>
        <c:ser>
          <c:idx val="1"/>
          <c:order val="1"/>
          <c:tx>
            <c:v>Objectif</c:v>
          </c:tx>
          <c:spPr>
            <a:ln w="38100" cap="rnd">
              <a:solidFill>
                <a:srgbClr val="FF0000"/>
              </a:solidFill>
              <a:round/>
            </a:ln>
            <a:effectLst/>
          </c:spPr>
          <c:marker>
            <c:symbol val="none"/>
          </c:marker>
          <c:val>
            <c:numRef>
              <c:f>'KPI PARC AUTO'!$H$141:$H$153</c:f>
              <c:numCache>
                <c:formatCode>#,##0.00</c:formatCode>
                <c:ptCount val="13"/>
                <c:pt idx="0">
                  <c:v>90</c:v>
                </c:pt>
                <c:pt idx="1">
                  <c:v>90</c:v>
                </c:pt>
                <c:pt idx="2">
                  <c:v>90</c:v>
                </c:pt>
                <c:pt idx="3">
                  <c:v>90</c:v>
                </c:pt>
                <c:pt idx="4">
                  <c:v>90</c:v>
                </c:pt>
                <c:pt idx="5">
                  <c:v>90</c:v>
                </c:pt>
                <c:pt idx="6">
                  <c:v>90</c:v>
                </c:pt>
                <c:pt idx="7">
                  <c:v>90</c:v>
                </c:pt>
                <c:pt idx="8">
                  <c:v>90</c:v>
                </c:pt>
                <c:pt idx="9">
                  <c:v>90</c:v>
                </c:pt>
                <c:pt idx="10">
                  <c:v>90</c:v>
                </c:pt>
                <c:pt idx="11">
                  <c:v>90</c:v>
                </c:pt>
                <c:pt idx="12">
                  <c:v>90</c:v>
                </c:pt>
              </c:numCache>
            </c:numRef>
          </c:val>
          <c:extLst xmlns:c16r2="http://schemas.microsoft.com/office/drawing/2015/06/chart">
            <c:ext xmlns:c16="http://schemas.microsoft.com/office/drawing/2014/chart" uri="{C3380CC4-5D6E-409C-BE32-E72D297353CC}">
              <c16:uniqueId val="{00000002-EB23-48E5-A357-E339758AA4A1}"/>
            </c:ext>
          </c:extLst>
        </c:ser>
        <c:marker val="1"/>
        <c:axId val="165280000"/>
        <c:axId val="165289984"/>
      </c:lineChart>
      <c:catAx>
        <c:axId val="165280000"/>
        <c:scaling>
          <c:orientation val="minMax"/>
        </c:scaling>
        <c:axPos val="b"/>
        <c:numFmt formatCode="General" sourceLinked="1"/>
        <c:maj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5289984"/>
        <c:crosses val="autoZero"/>
        <c:auto val="1"/>
        <c:lblAlgn val="ctr"/>
        <c:lblOffset val="100"/>
      </c:catAx>
      <c:valAx>
        <c:axId val="165289984"/>
        <c:scaling>
          <c:orientation val="minMax"/>
          <c:max val="100"/>
          <c:min val="50"/>
        </c:scaling>
        <c:axPos val="l"/>
        <c:majorGridlines>
          <c:spPr>
            <a:ln w="9525" cap="flat" cmpd="sng" algn="ctr">
              <a:solidFill>
                <a:schemeClr val="tx1">
                  <a:lumMod val="15000"/>
                  <a:lumOff val="85000"/>
                </a:schemeClr>
              </a:solidFill>
              <a:round/>
            </a:ln>
            <a:effectLst/>
          </c:spPr>
        </c:majorGridlines>
        <c:numFmt formatCode="#,##0" sourceLinked="0"/>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5280000"/>
        <c:crosses val="autoZero"/>
        <c:crossBetween val="between"/>
      </c:valAx>
      <c:spPr>
        <a:noFill/>
        <a:ln>
          <a:noFill/>
        </a:ln>
        <a:effectLst/>
      </c:spPr>
    </c:plotArea>
    <c:legend>
      <c:legendPos val="b"/>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1465" l="0.70000000000000062" r="0.70000000000000062" t="0.7500000000000146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fr-FR"/>
  <c:style val="8"/>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MTTR Engins Roulants</a:t>
            </a:r>
          </a:p>
        </c:rich>
      </c:tx>
      <c:spPr>
        <a:noFill/>
        <a:ln>
          <a:noFill/>
        </a:ln>
        <a:effectLst/>
      </c:spPr>
    </c:title>
    <c:plotArea>
      <c:layout/>
      <c:barChart>
        <c:barDir val="bar"/>
        <c:grouping val="clustered"/>
        <c:ser>
          <c:idx val="0"/>
          <c:order val="0"/>
          <c:tx>
            <c:v>MTTR</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'KPI PARC AUTO'!$A$141:$B$153</c:f>
              <c:multiLvlStrCache>
                <c:ptCount val="13"/>
                <c:lvl>
                  <c:pt idx="0">
                    <c:v>Linde H30D</c:v>
                  </c:pt>
                  <c:pt idx="1">
                    <c:v>Manitou M26-2</c:v>
                  </c:pt>
                  <c:pt idx="2">
                    <c:v>Caterpillar</c:v>
                  </c:pt>
                  <c:pt idx="3">
                    <c:v>Fenwick HD30</c:v>
                  </c:pt>
                  <c:pt idx="4">
                    <c:v>Linde H30</c:v>
                  </c:pt>
                  <c:pt idx="5">
                    <c:v>Fenwick LINDE 25</c:v>
                  </c:pt>
                  <c:pt idx="6">
                    <c:v>Manitou MC 30</c:v>
                  </c:pt>
                  <c:pt idx="7">
                    <c:v>Linde H30</c:v>
                  </c:pt>
                  <c:pt idx="8">
                    <c:v>Linde H30</c:v>
                  </c:pt>
                  <c:pt idx="9">
                    <c:v>Fenwick  H40</c:v>
                  </c:pt>
                  <c:pt idx="10">
                    <c:v>Linde H25d</c:v>
                  </c:pt>
                  <c:pt idx="11">
                    <c:v>Linde H30D</c:v>
                  </c:pt>
                  <c:pt idx="12">
                    <c:v>linde h 45</c:v>
                  </c:pt>
                </c:lvl>
                <c:lvl>
                  <c:pt idx="0">
                    <c:v>434</c:v>
                  </c:pt>
                  <c:pt idx="1">
                    <c:v>431</c:v>
                  </c:pt>
                  <c:pt idx="2">
                    <c:v>413</c:v>
                  </c:pt>
                  <c:pt idx="3">
                    <c:v>429</c:v>
                  </c:pt>
                  <c:pt idx="4">
                    <c:v>421</c:v>
                  </c:pt>
                  <c:pt idx="5">
                    <c:v>422</c:v>
                  </c:pt>
                  <c:pt idx="6">
                    <c:v>426</c:v>
                  </c:pt>
                  <c:pt idx="7">
                    <c:v>427</c:v>
                  </c:pt>
                  <c:pt idx="8">
                    <c:v>428</c:v>
                  </c:pt>
                  <c:pt idx="9">
                    <c:v>430</c:v>
                  </c:pt>
                  <c:pt idx="10">
                    <c:v>472</c:v>
                  </c:pt>
                  <c:pt idx="11">
                    <c:v>477</c:v>
                  </c:pt>
                  <c:pt idx="12">
                    <c:v>420</c:v>
                  </c:pt>
                </c:lvl>
              </c:multiLvlStrCache>
            </c:multiLvlStrRef>
          </c:cat>
          <c:val>
            <c:numRef>
              <c:f>'KPI PARC AUTO'!$F$141:$F$153</c:f>
              <c:numCache>
                <c:formatCode>#,##0.00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xmlns:c16r2="http://schemas.microsoft.com/office/drawing/2015/06/chart">
            <c:ext xmlns:c16="http://schemas.microsoft.com/office/drawing/2014/chart" uri="{C3380CC4-5D6E-409C-BE32-E72D297353CC}">
              <c16:uniqueId val="{00000000-CC26-4323-B091-39F4632857E4}"/>
            </c:ext>
          </c:extLst>
        </c:ser>
        <c:gapWidth val="100"/>
        <c:axId val="165331328"/>
        <c:axId val="165332864"/>
      </c:barChart>
      <c:catAx>
        <c:axId val="165331328"/>
        <c:scaling>
          <c:orientation val="minMax"/>
        </c:scaling>
        <c:axPos val="l"/>
        <c:numFmt formatCode="General" sourceLinked="1"/>
        <c:maj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5332864"/>
        <c:crosses val="autoZero"/>
        <c:auto val="1"/>
        <c:lblAlgn val="ctr"/>
        <c:lblOffset val="100"/>
      </c:catAx>
      <c:valAx>
        <c:axId val="165332864"/>
        <c:scaling>
          <c:orientation val="minMax"/>
        </c:scaling>
        <c:axPos val="b"/>
        <c:majorGridlines>
          <c:spPr>
            <a:ln w="9525" cap="flat" cmpd="sng" algn="ctr">
              <a:solidFill>
                <a:schemeClr val="tx1">
                  <a:lumMod val="15000"/>
                  <a:lumOff val="85000"/>
                </a:schemeClr>
              </a:solidFill>
              <a:round/>
            </a:ln>
            <a:effectLst/>
          </c:spPr>
        </c:majorGridlines>
        <c:numFmt formatCode="#,##0.00" sourceLinked="1"/>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5331328"/>
        <c:crosses val="autoZero"/>
        <c:crossBetween val="between"/>
      </c:valAx>
      <c:spPr>
        <a:noFill/>
        <a:ln>
          <a:noFill/>
        </a:ln>
        <a:effectLst/>
      </c:spPr>
    </c:plotArea>
    <c:legend>
      <c:legendPos val="b"/>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1465" l="0.70000000000000062" r="0.70000000000000062" t="0.7500000000000146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fr-FR"/>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MTBF Camions</a:t>
            </a:r>
          </a:p>
        </c:rich>
      </c:tx>
      <c:spPr>
        <a:noFill/>
        <a:ln>
          <a:noFill/>
        </a:ln>
        <a:effectLst/>
      </c:spPr>
    </c:title>
    <c:plotArea>
      <c:layout/>
      <c:barChart>
        <c:barDir val="bar"/>
        <c:grouping val="clustered"/>
        <c:ser>
          <c:idx val="0"/>
          <c:order val="0"/>
          <c:tx>
            <c:v>MTBF</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'KPI PARC AUTO'!$A$158:$B$167</c:f>
              <c:multiLvlStrCache>
                <c:ptCount val="10"/>
                <c:lvl>
                  <c:pt idx="0">
                    <c:v>Renault</c:v>
                  </c:pt>
                  <c:pt idx="1">
                    <c:v>Mitsubishi</c:v>
                  </c:pt>
                  <c:pt idx="2">
                    <c:v>ISUZU</c:v>
                  </c:pt>
                  <c:pt idx="3">
                    <c:v>Mitsubishi</c:v>
                  </c:pt>
                  <c:pt idx="4">
                    <c:v>VOLVO</c:v>
                  </c:pt>
                  <c:pt idx="5">
                    <c:v>MAN</c:v>
                  </c:pt>
                  <c:pt idx="6">
                    <c:v>ISUZU</c:v>
                  </c:pt>
                  <c:pt idx="7">
                    <c:v>Mitsubishi</c:v>
                  </c:pt>
                  <c:pt idx="8">
                    <c:v>Mitsubishi</c:v>
                  </c:pt>
                  <c:pt idx="9">
                    <c:v>VOLVO</c:v>
                  </c:pt>
                </c:lvl>
                <c:lvl>
                  <c:pt idx="0">
                    <c:v>411</c:v>
                  </c:pt>
                  <c:pt idx="1">
                    <c:v>436</c:v>
                  </c:pt>
                  <c:pt idx="2">
                    <c:v>401</c:v>
                  </c:pt>
                  <c:pt idx="3">
                    <c:v>435</c:v>
                  </c:pt>
                  <c:pt idx="4">
                    <c:v>480</c:v>
                  </c:pt>
                  <c:pt idx="5">
                    <c:v>403</c:v>
                  </c:pt>
                  <c:pt idx="6">
                    <c:v>405</c:v>
                  </c:pt>
                  <c:pt idx="7">
                    <c:v>408</c:v>
                  </c:pt>
                  <c:pt idx="8">
                    <c:v>409</c:v>
                  </c:pt>
                  <c:pt idx="9">
                    <c:v>481</c:v>
                  </c:pt>
                </c:lvl>
              </c:multiLvlStrCache>
            </c:multiLvlStrRef>
          </c:cat>
          <c:val>
            <c:numRef>
              <c:f>'KPI PARC AUTO'!$F$158:$F$167</c:f>
              <c:numCache>
                <c:formatCode>#,##0.00</c:formatCode>
                <c:ptCount val="10"/>
                <c:pt idx="0">
                  <c:v>14040</c:v>
                </c:pt>
                <c:pt idx="1">
                  <c:v>14040</c:v>
                </c:pt>
                <c:pt idx="2">
                  <c:v>14040</c:v>
                </c:pt>
                <c:pt idx="3">
                  <c:v>14040</c:v>
                </c:pt>
                <c:pt idx="4">
                  <c:v>14040</c:v>
                </c:pt>
                <c:pt idx="5">
                  <c:v>14040</c:v>
                </c:pt>
                <c:pt idx="6">
                  <c:v>14040</c:v>
                </c:pt>
                <c:pt idx="7">
                  <c:v>14040</c:v>
                </c:pt>
                <c:pt idx="8">
                  <c:v>14040</c:v>
                </c:pt>
                <c:pt idx="9">
                  <c:v>14040</c:v>
                </c:pt>
              </c:numCache>
            </c:numRef>
          </c:val>
          <c:extLst xmlns:c16r2="http://schemas.microsoft.com/office/drawing/2015/06/chart">
            <c:ext xmlns:c16="http://schemas.microsoft.com/office/drawing/2014/chart" uri="{C3380CC4-5D6E-409C-BE32-E72D297353CC}">
              <c16:uniqueId val="{00000000-F477-42D0-9C72-9F3835CF46C2}"/>
            </c:ext>
          </c:extLst>
        </c:ser>
        <c:gapWidth val="115"/>
        <c:overlap val="-20"/>
        <c:axId val="165473664"/>
        <c:axId val="165500032"/>
      </c:barChart>
      <c:catAx>
        <c:axId val="165473664"/>
        <c:scaling>
          <c:orientation val="minMax"/>
        </c:scaling>
        <c:axPos val="l"/>
        <c:numFmt formatCode="General" sourceLinked="1"/>
        <c:maj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5500032"/>
        <c:crosses val="autoZero"/>
        <c:auto val="1"/>
        <c:lblAlgn val="ctr"/>
        <c:lblOffset val="100"/>
      </c:catAx>
      <c:valAx>
        <c:axId val="165500032"/>
        <c:scaling>
          <c:orientation val="minMax"/>
        </c:scaling>
        <c:axPos val="b"/>
        <c:majorGridlines>
          <c:spPr>
            <a:ln w="9525" cap="flat" cmpd="sng" algn="ctr">
              <a:solidFill>
                <a:schemeClr val="tx1">
                  <a:lumMod val="15000"/>
                  <a:lumOff val="85000"/>
                </a:schemeClr>
              </a:solidFill>
              <a:round/>
            </a:ln>
            <a:effectLst/>
          </c:spPr>
        </c:majorGridlines>
        <c:numFmt formatCode="#,##0.00" sourceLinked="1"/>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5473664"/>
        <c:crosses val="autoZero"/>
        <c:crossBetween val="between"/>
      </c:valAx>
      <c:spPr>
        <a:noFill/>
        <a:ln>
          <a:noFill/>
        </a:ln>
        <a:effectLst/>
      </c:spPr>
    </c:plotArea>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1465" l="0.70000000000000062" r="0.70000000000000062" t="0.75000000000001465"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fr-FR"/>
  <c:style val="6"/>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MTTR Camions</a:t>
            </a:r>
          </a:p>
        </c:rich>
      </c:tx>
      <c:spPr>
        <a:noFill/>
        <a:ln>
          <a:noFill/>
        </a:ln>
        <a:effectLst/>
      </c:spPr>
    </c:title>
    <c:plotArea>
      <c:layout/>
      <c:barChart>
        <c:barDir val="bar"/>
        <c:grouping val="clustered"/>
        <c:ser>
          <c:idx val="0"/>
          <c:order val="0"/>
          <c:tx>
            <c:v>MTTR</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cat>
            <c:multiLvlStrRef>
              <c:f>'KPI PARC AUTO'!$A$158:$B$167</c:f>
              <c:multiLvlStrCache>
                <c:ptCount val="10"/>
                <c:lvl>
                  <c:pt idx="0">
                    <c:v>Renault</c:v>
                  </c:pt>
                  <c:pt idx="1">
                    <c:v>Mitsubishi</c:v>
                  </c:pt>
                  <c:pt idx="2">
                    <c:v>ISUZU</c:v>
                  </c:pt>
                  <c:pt idx="3">
                    <c:v>Mitsubishi</c:v>
                  </c:pt>
                  <c:pt idx="4">
                    <c:v>VOLVO</c:v>
                  </c:pt>
                  <c:pt idx="5">
                    <c:v>MAN</c:v>
                  </c:pt>
                  <c:pt idx="6">
                    <c:v>ISUZU</c:v>
                  </c:pt>
                  <c:pt idx="7">
                    <c:v>Mitsubishi</c:v>
                  </c:pt>
                  <c:pt idx="8">
                    <c:v>Mitsubishi</c:v>
                  </c:pt>
                  <c:pt idx="9">
                    <c:v>VOLVO</c:v>
                  </c:pt>
                </c:lvl>
                <c:lvl>
                  <c:pt idx="0">
                    <c:v>411</c:v>
                  </c:pt>
                  <c:pt idx="1">
                    <c:v>436</c:v>
                  </c:pt>
                  <c:pt idx="2">
                    <c:v>401</c:v>
                  </c:pt>
                  <c:pt idx="3">
                    <c:v>435</c:v>
                  </c:pt>
                  <c:pt idx="4">
                    <c:v>480</c:v>
                  </c:pt>
                  <c:pt idx="5">
                    <c:v>403</c:v>
                  </c:pt>
                  <c:pt idx="6">
                    <c:v>405</c:v>
                  </c:pt>
                  <c:pt idx="7">
                    <c:v>408</c:v>
                  </c:pt>
                  <c:pt idx="8">
                    <c:v>409</c:v>
                  </c:pt>
                  <c:pt idx="9">
                    <c:v>481</c:v>
                  </c:pt>
                </c:lvl>
              </c:multiLvlStrCache>
            </c:multiLvlStrRef>
          </c:cat>
          <c:val>
            <c:numRef>
              <c:f>'KPI PARC AUTO'!$G$158:$G$167</c:f>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6-FA9D-4C15-B3E2-3A83239672BE}"/>
            </c:ext>
          </c:extLst>
        </c:ser>
        <c:gapWidth val="100"/>
        <c:axId val="165536896"/>
        <c:axId val="165538432"/>
      </c:barChart>
      <c:catAx>
        <c:axId val="165536896"/>
        <c:scaling>
          <c:orientation val="minMax"/>
        </c:scaling>
        <c:axPos val="l"/>
        <c:numFmt formatCode="General" sourceLinked="1"/>
        <c:maj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165538432"/>
        <c:crosses val="autoZero"/>
        <c:auto val="1"/>
        <c:lblAlgn val="ctr"/>
        <c:lblOffset val="100"/>
      </c:catAx>
      <c:valAx>
        <c:axId val="165538432"/>
        <c:scaling>
          <c:orientation val="minMax"/>
        </c:scaling>
        <c:axPos val="b"/>
        <c:majorGridlines>
          <c:spPr>
            <a:ln w="9525" cap="flat" cmpd="sng" algn="ctr">
              <a:solidFill>
                <a:schemeClr val="tx2">
                  <a:lumMod val="15000"/>
                  <a:lumOff val="85000"/>
                </a:schemeClr>
              </a:solidFill>
              <a:round/>
            </a:ln>
            <a:effectLst/>
          </c:spPr>
        </c:majorGridlines>
        <c:numFmt formatCode="#,##0.00" sourceLinked="1"/>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165536896"/>
        <c:crosses val="autoZero"/>
        <c:crossBetween val="between"/>
      </c:valAx>
      <c:spPr>
        <a:noFill/>
        <a:ln>
          <a:noFill/>
        </a:ln>
        <a:effectLst/>
      </c:spPr>
    </c:plotArea>
    <c:legend>
      <c:legendPos val="b"/>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legend>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fr-FR"/>
    </a:p>
  </c:txPr>
  <c:printSettings>
    <c:headerFooter/>
    <c:pageMargins b="0.75000000000001465" l="0.70000000000000062" r="0.70000000000000062" t="0.75000000000001465"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fr-FR"/>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Disponibilité des Camions </a:t>
            </a:r>
          </a:p>
        </c:rich>
      </c:tx>
      <c:spPr>
        <a:noFill/>
        <a:ln>
          <a:noFill/>
        </a:ln>
        <a:effectLst/>
      </c:spPr>
    </c:title>
    <c:plotArea>
      <c:layout/>
      <c:barChart>
        <c:barDir val="col"/>
        <c:grouping val="clustered"/>
        <c:ser>
          <c:idx val="0"/>
          <c:order val="0"/>
          <c:tx>
            <c:v>Disponibilité</c:v>
          </c:tx>
          <c:spPr>
            <a:solidFill>
              <a:schemeClr val="accent1"/>
            </a:solidFill>
            <a:ln>
              <a:noFill/>
            </a:ln>
            <a:effectLst/>
          </c:spPr>
          <c:cat>
            <c:multiLvlStrRef>
              <c:f>'KPI PARC AUTO'!$A$158:$B$167</c:f>
              <c:multiLvlStrCache>
                <c:ptCount val="10"/>
                <c:lvl>
                  <c:pt idx="0">
                    <c:v>Renault</c:v>
                  </c:pt>
                  <c:pt idx="1">
                    <c:v>Mitsubishi</c:v>
                  </c:pt>
                  <c:pt idx="2">
                    <c:v>ISUZU</c:v>
                  </c:pt>
                  <c:pt idx="3">
                    <c:v>Mitsubishi</c:v>
                  </c:pt>
                  <c:pt idx="4">
                    <c:v>VOLVO</c:v>
                  </c:pt>
                  <c:pt idx="5">
                    <c:v>MAN</c:v>
                  </c:pt>
                  <c:pt idx="6">
                    <c:v>ISUZU</c:v>
                  </c:pt>
                  <c:pt idx="7">
                    <c:v>Mitsubishi</c:v>
                  </c:pt>
                  <c:pt idx="8">
                    <c:v>Mitsubishi</c:v>
                  </c:pt>
                  <c:pt idx="9">
                    <c:v>VOLVO</c:v>
                  </c:pt>
                </c:lvl>
                <c:lvl>
                  <c:pt idx="0">
                    <c:v>411</c:v>
                  </c:pt>
                  <c:pt idx="1">
                    <c:v>436</c:v>
                  </c:pt>
                  <c:pt idx="2">
                    <c:v>401</c:v>
                  </c:pt>
                  <c:pt idx="3">
                    <c:v>435</c:v>
                  </c:pt>
                  <c:pt idx="4">
                    <c:v>480</c:v>
                  </c:pt>
                  <c:pt idx="5">
                    <c:v>403</c:v>
                  </c:pt>
                  <c:pt idx="6">
                    <c:v>405</c:v>
                  </c:pt>
                  <c:pt idx="7">
                    <c:v>408</c:v>
                  </c:pt>
                  <c:pt idx="8">
                    <c:v>409</c:v>
                  </c:pt>
                  <c:pt idx="9">
                    <c:v>481</c:v>
                  </c:pt>
                </c:lvl>
              </c:multiLvlStrCache>
            </c:multiLvlStrRef>
          </c:cat>
          <c:val>
            <c:numRef>
              <c:f>'KPI PARC AUTO'!$H$158:$H$167</c:f>
              <c:numCache>
                <c:formatCode>#,##0.00</c:formatCode>
                <c:ptCount val="10"/>
                <c:pt idx="0">
                  <c:v>100</c:v>
                </c:pt>
                <c:pt idx="1">
                  <c:v>100</c:v>
                </c:pt>
                <c:pt idx="2">
                  <c:v>100</c:v>
                </c:pt>
                <c:pt idx="3">
                  <c:v>100</c:v>
                </c:pt>
                <c:pt idx="4">
                  <c:v>100</c:v>
                </c:pt>
                <c:pt idx="5">
                  <c:v>100</c:v>
                </c:pt>
                <c:pt idx="6">
                  <c:v>100</c:v>
                </c:pt>
                <c:pt idx="7">
                  <c:v>100</c:v>
                </c:pt>
                <c:pt idx="8">
                  <c:v>100</c:v>
                </c:pt>
                <c:pt idx="9">
                  <c:v>100</c:v>
                </c:pt>
              </c:numCache>
            </c:numRef>
          </c:val>
          <c:extLst xmlns:c16r2="http://schemas.microsoft.com/office/drawing/2015/06/chart">
            <c:ext xmlns:c16="http://schemas.microsoft.com/office/drawing/2014/chart" uri="{C3380CC4-5D6E-409C-BE32-E72D297353CC}">
              <c16:uniqueId val="{00000000-B73A-4056-9539-3B34D067BC22}"/>
            </c:ext>
          </c:extLst>
        </c:ser>
        <c:gapWidth val="219"/>
        <c:axId val="165872384"/>
        <c:axId val="165873920"/>
      </c:barChart>
      <c:lineChart>
        <c:grouping val="standard"/>
        <c:ser>
          <c:idx val="1"/>
          <c:order val="1"/>
          <c:tx>
            <c:v>Objectif</c:v>
          </c:tx>
          <c:spPr>
            <a:ln w="28575" cap="rnd">
              <a:solidFill>
                <a:srgbClr val="FF0000"/>
              </a:solidFill>
              <a:round/>
            </a:ln>
            <a:effectLst/>
          </c:spPr>
          <c:marker>
            <c:symbol val="none"/>
          </c:marker>
          <c:val>
            <c:numRef>
              <c:f>'KPI PARC AUTO'!$I$158:$I$167</c:f>
              <c:numCache>
                <c:formatCode>General</c:formatCode>
                <c:ptCount val="10"/>
                <c:pt idx="0">
                  <c:v>90</c:v>
                </c:pt>
                <c:pt idx="1">
                  <c:v>90</c:v>
                </c:pt>
                <c:pt idx="2">
                  <c:v>90</c:v>
                </c:pt>
                <c:pt idx="3">
                  <c:v>90</c:v>
                </c:pt>
                <c:pt idx="4">
                  <c:v>90</c:v>
                </c:pt>
                <c:pt idx="5">
                  <c:v>90</c:v>
                </c:pt>
                <c:pt idx="6">
                  <c:v>90</c:v>
                </c:pt>
                <c:pt idx="7">
                  <c:v>90</c:v>
                </c:pt>
                <c:pt idx="8">
                  <c:v>90</c:v>
                </c:pt>
                <c:pt idx="9">
                  <c:v>90</c:v>
                </c:pt>
              </c:numCache>
            </c:numRef>
          </c:val>
          <c:extLst xmlns:c16r2="http://schemas.microsoft.com/office/drawing/2015/06/chart">
            <c:ext xmlns:c16="http://schemas.microsoft.com/office/drawing/2014/chart" uri="{C3380CC4-5D6E-409C-BE32-E72D297353CC}">
              <c16:uniqueId val="{00000002-B73A-4056-9539-3B34D067BC22}"/>
            </c:ext>
          </c:extLst>
        </c:ser>
        <c:marker val="1"/>
        <c:axId val="165872384"/>
        <c:axId val="165873920"/>
      </c:lineChart>
      <c:catAx>
        <c:axId val="165872384"/>
        <c:scaling>
          <c:orientation val="minMax"/>
        </c:scaling>
        <c:axPos val="b"/>
        <c:numFmt formatCode="General" sourceLinked="1"/>
        <c:maj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5873920"/>
        <c:crosses val="autoZero"/>
        <c:auto val="1"/>
        <c:lblAlgn val="ctr"/>
        <c:lblOffset val="100"/>
      </c:catAx>
      <c:valAx>
        <c:axId val="165873920"/>
        <c:scaling>
          <c:orientation val="minMax"/>
          <c:max val="100"/>
          <c:min val="50"/>
        </c:scaling>
        <c:axPos val="l"/>
        <c:majorGridlines>
          <c:spPr>
            <a:ln w="9525" cap="flat" cmpd="sng" algn="ctr">
              <a:solidFill>
                <a:schemeClr val="tx1">
                  <a:lumMod val="15000"/>
                  <a:lumOff val="85000"/>
                </a:schemeClr>
              </a:solidFill>
              <a:round/>
            </a:ln>
            <a:effectLst/>
          </c:spPr>
        </c:majorGridlines>
        <c:numFmt formatCode="#,##0.00" sourceLinked="1"/>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5872384"/>
        <c:crosses val="autoZero"/>
        <c:crossBetween val="between"/>
      </c:valAx>
      <c:spPr>
        <a:noFill/>
        <a:ln>
          <a:noFill/>
        </a:ln>
        <a:effectLst/>
      </c:spPr>
    </c:plotArea>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1465" l="0.70000000000000062" r="0.70000000000000062" t="0.75000000000001465"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fr-FR"/>
  <c:chart>
    <c:title>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plotArea>
      <c:layout/>
      <c:barChart>
        <c:barDir val="bar"/>
        <c:grouping val="clustered"/>
        <c:ser>
          <c:idx val="0"/>
          <c:order val="0"/>
          <c:tx>
            <c:v>MTBF Semi Remorques</c:v>
          </c:tx>
          <c:spPr>
            <a:solidFill>
              <a:schemeClr val="accent1"/>
            </a:solidFill>
            <a:ln>
              <a:noFill/>
            </a:ln>
            <a:effectLst/>
          </c:spPr>
          <c:cat>
            <c:multiLvlStrRef>
              <c:f>'KPI PARC AUTO'!$A$172:$B$177</c:f>
              <c:multiLvlStrCache>
                <c:ptCount val="6"/>
                <c:lvl>
                  <c:pt idx="0">
                    <c:v>VOLVO</c:v>
                  </c:pt>
                  <c:pt idx="1">
                    <c:v>VOLVO</c:v>
                  </c:pt>
                  <c:pt idx="2">
                    <c:v>MAN</c:v>
                  </c:pt>
                  <c:pt idx="3">
                    <c:v>MAN</c:v>
                  </c:pt>
                  <c:pt idx="4">
                    <c:v>VOLVO</c:v>
                  </c:pt>
                  <c:pt idx="5">
                    <c:v>VOLVO</c:v>
                  </c:pt>
                </c:lvl>
                <c:lvl>
                  <c:pt idx="0">
                    <c:v>404</c:v>
                  </c:pt>
                  <c:pt idx="1">
                    <c:v>406</c:v>
                  </c:pt>
                  <c:pt idx="2">
                    <c:v>407</c:v>
                  </c:pt>
                  <c:pt idx="3">
                    <c:v>410</c:v>
                  </c:pt>
                  <c:pt idx="4">
                    <c:v>438</c:v>
                  </c:pt>
                  <c:pt idx="5">
                    <c:v>439</c:v>
                  </c:pt>
                </c:lvl>
              </c:multiLvlStrCache>
            </c:multiLvlStrRef>
          </c:cat>
          <c:val>
            <c:numRef>
              <c:f>'KPI PARC AUTO'!$F$172:$F$177</c:f>
              <c:numCache>
                <c:formatCode>General</c:formatCode>
                <c:ptCount val="6"/>
                <c:pt idx="0">
                  <c:v>14040</c:v>
                </c:pt>
                <c:pt idx="1">
                  <c:v>14040</c:v>
                </c:pt>
                <c:pt idx="2">
                  <c:v>14040</c:v>
                </c:pt>
                <c:pt idx="3">
                  <c:v>14040</c:v>
                </c:pt>
                <c:pt idx="4">
                  <c:v>14040</c:v>
                </c:pt>
                <c:pt idx="5">
                  <c:v>14040</c:v>
                </c:pt>
              </c:numCache>
            </c:numRef>
          </c:val>
          <c:extLst xmlns:c16r2="http://schemas.microsoft.com/office/drawing/2015/06/chart">
            <c:ext xmlns:c16="http://schemas.microsoft.com/office/drawing/2014/chart" uri="{C3380CC4-5D6E-409C-BE32-E72D297353CC}">
              <c16:uniqueId val="{00000000-C2FB-40F5-B253-930E09972214}"/>
            </c:ext>
          </c:extLst>
        </c:ser>
        <c:gapWidth val="219"/>
        <c:axId val="165972224"/>
        <c:axId val="165982208"/>
      </c:barChart>
      <c:catAx>
        <c:axId val="165972224"/>
        <c:scaling>
          <c:orientation val="minMax"/>
        </c:scaling>
        <c:axPos val="l"/>
        <c:numFmt formatCode="General" sourceLinked="1"/>
        <c:maj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5982208"/>
        <c:crosses val="autoZero"/>
        <c:auto val="1"/>
        <c:lblAlgn val="ctr"/>
        <c:lblOffset val="100"/>
      </c:catAx>
      <c:valAx>
        <c:axId val="165982208"/>
        <c:scaling>
          <c:orientation val="minMax"/>
        </c:scaling>
        <c:axPos val="b"/>
        <c:majorGridlines>
          <c:spPr>
            <a:ln w="9525" cap="flat" cmpd="sng" algn="ctr">
              <a:solidFill>
                <a:schemeClr val="tx1">
                  <a:lumMod val="15000"/>
                  <a:lumOff val="85000"/>
                </a:schemeClr>
              </a:solidFill>
              <a:round/>
            </a:ln>
            <a:effectLst/>
          </c:spPr>
        </c:majorGridlines>
        <c:numFmt formatCode="General" sourceLinked="1"/>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5972224"/>
        <c:crosses val="autoZero"/>
        <c:crossBetween val="between"/>
      </c:valAx>
      <c:spPr>
        <a:noFill/>
        <a:ln>
          <a:noFill/>
        </a:ln>
        <a:effectLst/>
      </c:spPr>
    </c:plotArea>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1465" l="0.70000000000000062" r="0.70000000000000062" t="0.75000000000001465"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fr-FR"/>
  <c:style val="4"/>
  <c:chart>
    <c:title>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fr-FR"/>
        </a:p>
      </c:txPr>
    </c:title>
    <c:plotArea>
      <c:layout/>
      <c:barChart>
        <c:barDir val="bar"/>
        <c:grouping val="clustered"/>
        <c:ser>
          <c:idx val="0"/>
          <c:order val="0"/>
          <c:tx>
            <c:v>MTTR Semi Remorques</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'KPI PARC AUTO'!$A$172:$B$177</c:f>
              <c:multiLvlStrCache>
                <c:ptCount val="6"/>
                <c:lvl>
                  <c:pt idx="0">
                    <c:v>VOLVO</c:v>
                  </c:pt>
                  <c:pt idx="1">
                    <c:v>VOLVO</c:v>
                  </c:pt>
                  <c:pt idx="2">
                    <c:v>MAN</c:v>
                  </c:pt>
                  <c:pt idx="3">
                    <c:v>MAN</c:v>
                  </c:pt>
                  <c:pt idx="4">
                    <c:v>VOLVO</c:v>
                  </c:pt>
                  <c:pt idx="5">
                    <c:v>VOLVO</c:v>
                  </c:pt>
                </c:lvl>
                <c:lvl>
                  <c:pt idx="0">
                    <c:v>404</c:v>
                  </c:pt>
                  <c:pt idx="1">
                    <c:v>406</c:v>
                  </c:pt>
                  <c:pt idx="2">
                    <c:v>407</c:v>
                  </c:pt>
                  <c:pt idx="3">
                    <c:v>410</c:v>
                  </c:pt>
                  <c:pt idx="4">
                    <c:v>438</c:v>
                  </c:pt>
                  <c:pt idx="5">
                    <c:v>439</c:v>
                  </c:pt>
                </c:lvl>
              </c:multiLvlStrCache>
            </c:multiLvlStrRef>
          </c:cat>
          <c:val>
            <c:numRef>
              <c:f>'KPI PARC AUTO'!$G$172:$G$177</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1215-4E58-9ED2-562460272618}"/>
            </c:ext>
          </c:extLst>
        </c:ser>
        <c:gapWidth val="115"/>
        <c:overlap val="-20"/>
        <c:axId val="166486016"/>
        <c:axId val="166487552"/>
      </c:barChart>
      <c:catAx>
        <c:axId val="166486016"/>
        <c:scaling>
          <c:orientation val="minMax"/>
        </c:scaling>
        <c:axPos val="l"/>
        <c:numFmt formatCode="General" sourceLinked="1"/>
        <c:maj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6487552"/>
        <c:crosses val="autoZero"/>
        <c:auto val="1"/>
        <c:lblAlgn val="ctr"/>
        <c:lblOffset val="100"/>
      </c:catAx>
      <c:valAx>
        <c:axId val="166487552"/>
        <c:scaling>
          <c:orientation val="minMax"/>
        </c:scaling>
        <c:axPos val="b"/>
        <c:majorGridlines>
          <c:spPr>
            <a:ln w="9525" cap="flat" cmpd="sng" algn="ctr">
              <a:solidFill>
                <a:schemeClr val="tx1">
                  <a:lumMod val="15000"/>
                  <a:lumOff val="85000"/>
                </a:schemeClr>
              </a:solidFill>
              <a:round/>
            </a:ln>
            <a:effectLst/>
          </c:spPr>
        </c:majorGridlines>
        <c:numFmt formatCode="General" sourceLinked="1"/>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6486016"/>
        <c:crosses val="autoZero"/>
        <c:crossBetween val="between"/>
      </c:valAx>
      <c:spPr>
        <a:noFill/>
        <a:ln>
          <a:noFill/>
        </a:ln>
        <a:effectLst/>
      </c:spPr>
    </c:plotArea>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1465" l="0.70000000000000062" r="0.70000000000000062" t="0.75000000000001465"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fr-FR"/>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Disponibilité des Semi Remorques</a:t>
            </a:r>
          </a:p>
        </c:rich>
      </c:tx>
      <c:spPr>
        <a:noFill/>
        <a:ln>
          <a:noFill/>
        </a:ln>
        <a:effectLst/>
      </c:spPr>
    </c:title>
    <c:plotArea>
      <c:layout/>
      <c:barChart>
        <c:barDir val="col"/>
        <c:grouping val="clustered"/>
        <c:ser>
          <c:idx val="0"/>
          <c:order val="0"/>
          <c:tx>
            <c:v>Disponibilité</c:v>
          </c:tx>
          <c:spPr>
            <a:solidFill>
              <a:schemeClr val="accent1"/>
            </a:solidFill>
            <a:ln>
              <a:noFill/>
            </a:ln>
            <a:effectLst/>
          </c:spPr>
          <c:cat>
            <c:multiLvlStrRef>
              <c:f>'KPI PARC AUTO'!$A$172:$B$177</c:f>
              <c:multiLvlStrCache>
                <c:ptCount val="6"/>
                <c:lvl>
                  <c:pt idx="0">
                    <c:v>VOLVO</c:v>
                  </c:pt>
                  <c:pt idx="1">
                    <c:v>VOLVO</c:v>
                  </c:pt>
                  <c:pt idx="2">
                    <c:v>MAN</c:v>
                  </c:pt>
                  <c:pt idx="3">
                    <c:v>MAN</c:v>
                  </c:pt>
                  <c:pt idx="4">
                    <c:v>VOLVO</c:v>
                  </c:pt>
                  <c:pt idx="5">
                    <c:v>VOLVO</c:v>
                  </c:pt>
                </c:lvl>
                <c:lvl>
                  <c:pt idx="0">
                    <c:v>404</c:v>
                  </c:pt>
                  <c:pt idx="1">
                    <c:v>406</c:v>
                  </c:pt>
                  <c:pt idx="2">
                    <c:v>407</c:v>
                  </c:pt>
                  <c:pt idx="3">
                    <c:v>410</c:v>
                  </c:pt>
                  <c:pt idx="4">
                    <c:v>438</c:v>
                  </c:pt>
                  <c:pt idx="5">
                    <c:v>439</c:v>
                  </c:pt>
                </c:lvl>
              </c:multiLvlStrCache>
            </c:multiLvlStrRef>
          </c:cat>
          <c:val>
            <c:numRef>
              <c:f>'KPI PARC AUTO'!$H$172:$H$177</c:f>
              <c:numCache>
                <c:formatCode>General</c:formatCode>
                <c:ptCount val="6"/>
                <c:pt idx="0">
                  <c:v>100</c:v>
                </c:pt>
                <c:pt idx="1">
                  <c:v>100</c:v>
                </c:pt>
                <c:pt idx="2">
                  <c:v>100</c:v>
                </c:pt>
                <c:pt idx="3">
                  <c:v>100</c:v>
                </c:pt>
                <c:pt idx="4">
                  <c:v>100</c:v>
                </c:pt>
                <c:pt idx="5">
                  <c:v>100</c:v>
                </c:pt>
              </c:numCache>
            </c:numRef>
          </c:val>
          <c:extLst xmlns:c16r2="http://schemas.microsoft.com/office/drawing/2015/06/chart">
            <c:ext xmlns:c16="http://schemas.microsoft.com/office/drawing/2014/chart" uri="{C3380CC4-5D6E-409C-BE32-E72D297353CC}">
              <c16:uniqueId val="{00000000-21AE-4F34-B01C-E3BD70E59CD0}"/>
            </c:ext>
          </c:extLst>
        </c:ser>
        <c:gapWidth val="219"/>
        <c:axId val="166505472"/>
        <c:axId val="166507264"/>
      </c:barChart>
      <c:lineChart>
        <c:grouping val="standard"/>
        <c:ser>
          <c:idx val="1"/>
          <c:order val="1"/>
          <c:tx>
            <c:v>Objectif</c:v>
          </c:tx>
          <c:spPr>
            <a:ln w="28575" cap="rnd">
              <a:solidFill>
                <a:srgbClr val="FF0000"/>
              </a:solidFill>
              <a:round/>
            </a:ln>
            <a:effectLst/>
          </c:spPr>
          <c:marker>
            <c:symbol val="none"/>
          </c:marker>
          <c:cat>
            <c:multiLvlStrRef>
              <c:f>'KPI PARC AUTO'!$A$172:$B$177</c:f>
              <c:multiLvlStrCache>
                <c:ptCount val="6"/>
                <c:lvl>
                  <c:pt idx="0">
                    <c:v>VOLVO</c:v>
                  </c:pt>
                  <c:pt idx="1">
                    <c:v>VOLVO</c:v>
                  </c:pt>
                  <c:pt idx="2">
                    <c:v>MAN</c:v>
                  </c:pt>
                  <c:pt idx="3">
                    <c:v>MAN</c:v>
                  </c:pt>
                  <c:pt idx="4">
                    <c:v>VOLVO</c:v>
                  </c:pt>
                  <c:pt idx="5">
                    <c:v>VOLVO</c:v>
                  </c:pt>
                </c:lvl>
                <c:lvl>
                  <c:pt idx="0">
                    <c:v>404</c:v>
                  </c:pt>
                  <c:pt idx="1">
                    <c:v>406</c:v>
                  </c:pt>
                  <c:pt idx="2">
                    <c:v>407</c:v>
                  </c:pt>
                  <c:pt idx="3">
                    <c:v>410</c:v>
                  </c:pt>
                  <c:pt idx="4">
                    <c:v>438</c:v>
                  </c:pt>
                  <c:pt idx="5">
                    <c:v>439</c:v>
                  </c:pt>
                </c:lvl>
              </c:multiLvlStrCache>
            </c:multiLvlStrRef>
          </c:cat>
          <c:val>
            <c:numRef>
              <c:f>'KPI PARC AUTO'!$I$172:$I$177</c:f>
              <c:numCache>
                <c:formatCode>General</c:formatCode>
                <c:ptCount val="6"/>
                <c:pt idx="0">
                  <c:v>90</c:v>
                </c:pt>
                <c:pt idx="1">
                  <c:v>90</c:v>
                </c:pt>
                <c:pt idx="2">
                  <c:v>90</c:v>
                </c:pt>
                <c:pt idx="3">
                  <c:v>90</c:v>
                </c:pt>
                <c:pt idx="4">
                  <c:v>90</c:v>
                </c:pt>
                <c:pt idx="5">
                  <c:v>90</c:v>
                </c:pt>
              </c:numCache>
            </c:numRef>
          </c:val>
          <c:extLst xmlns:c16r2="http://schemas.microsoft.com/office/drawing/2015/06/chart">
            <c:ext xmlns:c16="http://schemas.microsoft.com/office/drawing/2014/chart" uri="{C3380CC4-5D6E-409C-BE32-E72D297353CC}">
              <c16:uniqueId val="{00000001-21AE-4F34-B01C-E3BD70E59CD0}"/>
            </c:ext>
          </c:extLst>
        </c:ser>
        <c:marker val="1"/>
        <c:axId val="166505472"/>
        <c:axId val="166507264"/>
      </c:lineChart>
      <c:catAx>
        <c:axId val="166505472"/>
        <c:scaling>
          <c:orientation val="minMax"/>
        </c:scaling>
        <c:axPos val="b"/>
        <c:numFmt formatCode="General" sourceLinked="1"/>
        <c:maj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6507264"/>
        <c:crosses val="autoZero"/>
        <c:auto val="1"/>
        <c:lblAlgn val="ctr"/>
        <c:lblOffset val="100"/>
      </c:catAx>
      <c:valAx>
        <c:axId val="166507264"/>
        <c:scaling>
          <c:orientation val="minMax"/>
          <c:max val="100"/>
          <c:min val="50"/>
        </c:scaling>
        <c:axPos val="l"/>
        <c:majorGridlines>
          <c:spPr>
            <a:ln w="9525" cap="flat" cmpd="sng" algn="ctr">
              <a:solidFill>
                <a:schemeClr val="tx1">
                  <a:lumMod val="15000"/>
                  <a:lumOff val="85000"/>
                </a:schemeClr>
              </a:solidFill>
              <a:round/>
            </a:ln>
            <a:effectLst/>
          </c:spPr>
        </c:majorGridlines>
        <c:numFmt formatCode="General" sourceLinked="1"/>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6505472"/>
        <c:crosses val="autoZero"/>
        <c:crossBetween val="between"/>
      </c:valAx>
      <c:spPr>
        <a:noFill/>
        <a:ln>
          <a:noFill/>
        </a:ln>
        <a:effectLst/>
      </c:spPr>
    </c:plotArea>
    <c:legend>
      <c:legendPos val="b"/>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8.png"/><Relationship Id="rId3" Type="http://schemas.openxmlformats.org/officeDocument/2006/relationships/hyperlink" Target="#'KPI PARC AUTO'!A1"/><Relationship Id="rId7" Type="http://schemas.openxmlformats.org/officeDocument/2006/relationships/hyperlink" Target="#'En cours'!A1"/><Relationship Id="rId12" Type="http://schemas.openxmlformats.org/officeDocument/2006/relationships/hyperlink" Target="#'Hist engins'!A1"/><Relationship Id="rId2" Type="http://schemas.openxmlformats.org/officeDocument/2006/relationships/image" Target="../media/image1.png"/><Relationship Id="rId1" Type="http://schemas.openxmlformats.org/officeDocument/2006/relationships/hyperlink" Target="#'Suivi des vidanges'!A1"/><Relationship Id="rId6" Type="http://schemas.openxmlformats.org/officeDocument/2006/relationships/image" Target="../media/image3.png"/><Relationship Id="rId11" Type="http://schemas.openxmlformats.org/officeDocument/2006/relationships/image" Target="../media/image7.png"/><Relationship Id="rId5" Type="http://schemas.openxmlformats.org/officeDocument/2006/relationships/hyperlink" Target="#'BDD interv'!A1"/><Relationship Id="rId15" Type="http://schemas.openxmlformats.org/officeDocument/2006/relationships/image" Target="../media/image10.png"/><Relationship Id="rId10" Type="http://schemas.openxmlformats.org/officeDocument/2006/relationships/image" Target="../media/image6.png"/><Relationship Id="rId4" Type="http://schemas.openxmlformats.org/officeDocument/2006/relationships/image" Target="../media/image2.png"/><Relationship Id="rId9" Type="http://schemas.openxmlformats.org/officeDocument/2006/relationships/image" Target="../media/image5.png"/><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hyperlink" Target="#Menu!A1"/><Relationship Id="rId1" Type="http://schemas.openxmlformats.org/officeDocument/2006/relationships/image" Target="../media/image12.png"/><Relationship Id="rId4" Type="http://schemas.openxmlformats.org/officeDocument/2006/relationships/image" Target="../media/image13.svg"/></Relationships>
</file>

<file path=xl/drawings/_rels/drawing3.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13.svg"/><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image" Target="../media/image1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hyperlink" Target="#Menu!A1"/><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image" Target="../media/image9.png"/><Relationship Id="rId9"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5" Type="http://schemas.openxmlformats.org/officeDocument/2006/relationships/image" Target="../media/image9.png"/><Relationship Id="rId4" Type="http://schemas.openxmlformats.org/officeDocument/2006/relationships/image" Target="../media/image18.png"/></Relationships>
</file>

<file path=xl/drawings/_rels/drawing5.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hyperlink" Target="#Menu!A1"/><Relationship Id="rId1" Type="http://schemas.openxmlformats.org/officeDocument/2006/relationships/image" Target="../media/image12.png"/><Relationship Id="rId4" Type="http://schemas.openxmlformats.org/officeDocument/2006/relationships/image" Target="../media/image13.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editAs="oneCell">
    <xdr:from>
      <xdr:col>13</xdr:col>
      <xdr:colOff>308885</xdr:colOff>
      <xdr:row>1</xdr:row>
      <xdr:rowOff>119743</xdr:rowOff>
    </xdr:from>
    <xdr:to>
      <xdr:col>17</xdr:col>
      <xdr:colOff>746599</xdr:colOff>
      <xdr:row>14</xdr:row>
      <xdr:rowOff>81338</xdr:rowOff>
    </xdr:to>
    <xdr:pic>
      <xdr:nvPicPr>
        <xdr:cNvPr id="16" name="Image 15">
          <a:hlinkClick xmlns:r="http://schemas.openxmlformats.org/officeDocument/2006/relationships" r:id="rId1"/>
          <a:extLst>
            <a:ext uri="{FF2B5EF4-FFF2-40B4-BE49-F238E27FC236}">
              <a16:creationId xmlns="" xmlns:a16="http://schemas.microsoft.com/office/drawing/2014/main" id="{00000000-0008-0000-0100-000010000000}"/>
            </a:ext>
          </a:extLst>
        </xdr:cNvPr>
        <xdr:cNvPicPr>
          <a:picLocks noChangeAspect="1"/>
        </xdr:cNvPicPr>
      </xdr:nvPicPr>
      <xdr:blipFill>
        <a:blip xmlns:r="http://schemas.openxmlformats.org/officeDocument/2006/relationships" r:embed="rId2" cstate="print"/>
        <a:stretch>
          <a:fillRect/>
        </a:stretch>
      </xdr:blipFill>
      <xdr:spPr>
        <a:xfrm>
          <a:off x="10214885" y="310243"/>
          <a:ext cx="3485714" cy="2438095"/>
        </a:xfrm>
        <a:prstGeom prst="rect">
          <a:avLst/>
        </a:prstGeom>
      </xdr:spPr>
    </xdr:pic>
    <xdr:clientData/>
  </xdr:twoCellAnchor>
  <xdr:twoCellAnchor editAs="oneCell">
    <xdr:from>
      <xdr:col>8</xdr:col>
      <xdr:colOff>387805</xdr:colOff>
      <xdr:row>1</xdr:row>
      <xdr:rowOff>129481</xdr:rowOff>
    </xdr:from>
    <xdr:to>
      <xdr:col>13</xdr:col>
      <xdr:colOff>115662</xdr:colOff>
      <xdr:row>14</xdr:row>
      <xdr:rowOff>61015</xdr:rowOff>
    </xdr:to>
    <xdr:pic>
      <xdr:nvPicPr>
        <xdr:cNvPr id="2" name="Image 1">
          <a:hlinkClick xmlns:r="http://schemas.openxmlformats.org/officeDocument/2006/relationships" r:id="rId3"/>
          <a:extLst>
            <a:ext uri="{FF2B5EF4-FFF2-40B4-BE49-F238E27FC236}">
              <a16:creationId xmlns="" xmlns:a16="http://schemas.microsoft.com/office/drawing/2014/main" id="{00000000-0008-0000-0100-000002000000}"/>
            </a:ext>
          </a:extLst>
        </xdr:cNvPr>
        <xdr:cNvPicPr>
          <a:picLocks noChangeAspect="1"/>
        </xdr:cNvPicPr>
      </xdr:nvPicPr>
      <xdr:blipFill rotWithShape="1">
        <a:blip xmlns:r="http://schemas.openxmlformats.org/officeDocument/2006/relationships" r:embed="rId4" cstate="print"/>
        <a:srcRect l="13736" r="13711" b="15718"/>
        <a:stretch/>
      </xdr:blipFill>
      <xdr:spPr>
        <a:xfrm>
          <a:off x="6483805" y="319981"/>
          <a:ext cx="3537857" cy="2408034"/>
        </a:xfrm>
        <a:prstGeom prst="rect">
          <a:avLst/>
        </a:prstGeom>
      </xdr:spPr>
    </xdr:pic>
    <xdr:clientData/>
  </xdr:twoCellAnchor>
  <xdr:twoCellAnchor editAs="oneCell">
    <xdr:from>
      <xdr:col>3</xdr:col>
      <xdr:colOff>523875</xdr:colOff>
      <xdr:row>1</xdr:row>
      <xdr:rowOff>115659</xdr:rowOff>
    </xdr:from>
    <xdr:to>
      <xdr:col>8</xdr:col>
      <xdr:colOff>197304</xdr:colOff>
      <xdr:row>14</xdr:row>
      <xdr:rowOff>74838</xdr:rowOff>
    </xdr:to>
    <xdr:pic>
      <xdr:nvPicPr>
        <xdr:cNvPr id="3" name="Image 2">
          <a:hlinkClick xmlns:r="http://schemas.openxmlformats.org/officeDocument/2006/relationships" r:id="rId5"/>
          <a:extLst>
            <a:ext uri="{FF2B5EF4-FFF2-40B4-BE49-F238E27FC236}">
              <a16:creationId xmlns="" xmlns:a16="http://schemas.microsoft.com/office/drawing/2014/main" id="{00000000-0008-0000-0100-000003000000}"/>
            </a:ext>
          </a:extLst>
        </xdr:cNvPr>
        <xdr:cNvPicPr>
          <a:picLocks noChangeAspect="1"/>
        </xdr:cNvPicPr>
      </xdr:nvPicPr>
      <xdr:blipFill rotWithShape="1">
        <a:blip xmlns:r="http://schemas.openxmlformats.org/officeDocument/2006/relationships" r:embed="rId6" cstate="print"/>
        <a:srcRect l="14510" r="14052" b="14751"/>
        <a:stretch/>
      </xdr:blipFill>
      <xdr:spPr>
        <a:xfrm>
          <a:off x="2809875" y="306159"/>
          <a:ext cx="3483429" cy="2435679"/>
        </a:xfrm>
        <a:prstGeom prst="rect">
          <a:avLst/>
        </a:prstGeom>
      </xdr:spPr>
    </xdr:pic>
    <xdr:clientData/>
  </xdr:twoCellAnchor>
  <xdr:twoCellAnchor editAs="oneCell">
    <xdr:from>
      <xdr:col>8</xdr:col>
      <xdr:colOff>408216</xdr:colOff>
      <xdr:row>15</xdr:row>
      <xdr:rowOff>35381</xdr:rowOff>
    </xdr:from>
    <xdr:to>
      <xdr:col>13</xdr:col>
      <xdr:colOff>95251</xdr:colOff>
      <xdr:row>27</xdr:row>
      <xdr:rowOff>171452</xdr:rowOff>
    </xdr:to>
    <xdr:pic>
      <xdr:nvPicPr>
        <xdr:cNvPr id="4" name="Image 3">
          <a:hlinkClick xmlns:r="http://schemas.openxmlformats.org/officeDocument/2006/relationships" r:id="rId7"/>
          <a:extLst>
            <a:ext uri="{FF2B5EF4-FFF2-40B4-BE49-F238E27FC236}">
              <a16:creationId xmlns="" xmlns:a16="http://schemas.microsoft.com/office/drawing/2014/main" id="{00000000-0008-0000-0100-000004000000}"/>
            </a:ext>
          </a:extLst>
        </xdr:cNvPr>
        <xdr:cNvPicPr>
          <a:picLocks noChangeAspect="1"/>
        </xdr:cNvPicPr>
      </xdr:nvPicPr>
      <xdr:blipFill rotWithShape="1">
        <a:blip xmlns:r="http://schemas.openxmlformats.org/officeDocument/2006/relationships" r:embed="rId8" cstate="print"/>
        <a:srcRect l="13673" r="14610" b="15227"/>
        <a:stretch/>
      </xdr:blipFill>
      <xdr:spPr>
        <a:xfrm>
          <a:off x="6504216" y="2892881"/>
          <a:ext cx="3497035" cy="2422071"/>
        </a:xfrm>
        <a:prstGeom prst="rect">
          <a:avLst/>
        </a:prstGeom>
      </xdr:spPr>
    </xdr:pic>
    <xdr:clientData/>
  </xdr:twoCellAnchor>
  <xdr:twoCellAnchor editAs="oneCell">
    <xdr:from>
      <xdr:col>13</xdr:col>
      <xdr:colOff>306162</xdr:colOff>
      <xdr:row>15</xdr:row>
      <xdr:rowOff>55792</xdr:rowOff>
    </xdr:from>
    <xdr:to>
      <xdr:col>17</xdr:col>
      <xdr:colOff>755198</xdr:colOff>
      <xdr:row>27</xdr:row>
      <xdr:rowOff>151040</xdr:rowOff>
    </xdr:to>
    <xdr:pic>
      <xdr:nvPicPr>
        <xdr:cNvPr id="5" name="Image 4">
          <a:extLst>
            <a:ext uri="{FF2B5EF4-FFF2-40B4-BE49-F238E27FC236}">
              <a16:creationId xmlns="" xmlns:a16="http://schemas.microsoft.com/office/drawing/2014/main" id="{00000000-0008-0000-0100-000005000000}"/>
            </a:ext>
          </a:extLst>
        </xdr:cNvPr>
        <xdr:cNvPicPr>
          <a:picLocks noChangeAspect="1"/>
        </xdr:cNvPicPr>
      </xdr:nvPicPr>
      <xdr:blipFill rotWithShape="1">
        <a:blip xmlns:r="http://schemas.openxmlformats.org/officeDocument/2006/relationships" r:embed="rId9" cstate="print"/>
        <a:srcRect l="14231" r="14052" b="16656"/>
        <a:stretch/>
      </xdr:blipFill>
      <xdr:spPr>
        <a:xfrm>
          <a:off x="10212162" y="2913292"/>
          <a:ext cx="3497036" cy="2381248"/>
        </a:xfrm>
        <a:prstGeom prst="rect">
          <a:avLst/>
        </a:prstGeom>
      </xdr:spPr>
    </xdr:pic>
    <xdr:clientData/>
  </xdr:twoCellAnchor>
  <xdr:twoCellAnchor editAs="oneCell">
    <xdr:from>
      <xdr:col>18</xdr:col>
      <xdr:colOff>170093</xdr:colOff>
      <xdr:row>1</xdr:row>
      <xdr:rowOff>130628</xdr:rowOff>
    </xdr:from>
    <xdr:to>
      <xdr:col>22</xdr:col>
      <xdr:colOff>619129</xdr:colOff>
      <xdr:row>14</xdr:row>
      <xdr:rowOff>59869</xdr:rowOff>
    </xdr:to>
    <xdr:pic>
      <xdr:nvPicPr>
        <xdr:cNvPr id="7" name="Image 6">
          <a:extLst>
            <a:ext uri="{FF2B5EF4-FFF2-40B4-BE49-F238E27FC236}">
              <a16:creationId xmlns="" xmlns:a16="http://schemas.microsoft.com/office/drawing/2014/main" id="{00000000-0008-0000-0100-000007000000}"/>
            </a:ext>
          </a:extLst>
        </xdr:cNvPr>
        <xdr:cNvPicPr>
          <a:picLocks noChangeAspect="1"/>
        </xdr:cNvPicPr>
      </xdr:nvPicPr>
      <xdr:blipFill rotWithShape="1">
        <a:blip xmlns:r="http://schemas.openxmlformats.org/officeDocument/2006/relationships" r:embed="rId10" cstate="print"/>
        <a:srcRect l="14176" r="14107" b="15799"/>
        <a:stretch/>
      </xdr:blipFill>
      <xdr:spPr>
        <a:xfrm>
          <a:off x="13886093" y="321128"/>
          <a:ext cx="3497036" cy="2405741"/>
        </a:xfrm>
        <a:prstGeom prst="rect">
          <a:avLst/>
        </a:prstGeom>
      </xdr:spPr>
    </xdr:pic>
    <xdr:clientData/>
  </xdr:twoCellAnchor>
  <xdr:twoCellAnchor editAs="oneCell">
    <xdr:from>
      <xdr:col>18</xdr:col>
      <xdr:colOff>163290</xdr:colOff>
      <xdr:row>15</xdr:row>
      <xdr:rowOff>50350</xdr:rowOff>
    </xdr:from>
    <xdr:to>
      <xdr:col>22</xdr:col>
      <xdr:colOff>625933</xdr:colOff>
      <xdr:row>27</xdr:row>
      <xdr:rowOff>156482</xdr:rowOff>
    </xdr:to>
    <xdr:pic>
      <xdr:nvPicPr>
        <xdr:cNvPr id="8" name="Image 7">
          <a:extLst>
            <a:ext uri="{FF2B5EF4-FFF2-40B4-BE49-F238E27FC236}">
              <a16:creationId xmlns="" xmlns:a16="http://schemas.microsoft.com/office/drawing/2014/main" id="{00000000-0008-0000-0100-000008000000}"/>
            </a:ext>
          </a:extLst>
        </xdr:cNvPr>
        <xdr:cNvPicPr>
          <a:picLocks noChangeAspect="1"/>
        </xdr:cNvPicPr>
      </xdr:nvPicPr>
      <xdr:blipFill rotWithShape="1">
        <a:blip xmlns:r="http://schemas.openxmlformats.org/officeDocument/2006/relationships" r:embed="rId11" cstate="print"/>
        <a:srcRect l="13618" r="14387" b="16276"/>
        <a:stretch/>
      </xdr:blipFill>
      <xdr:spPr>
        <a:xfrm>
          <a:off x="13879290" y="2907850"/>
          <a:ext cx="3510643" cy="2392132"/>
        </a:xfrm>
        <a:prstGeom prst="rect">
          <a:avLst/>
        </a:prstGeom>
      </xdr:spPr>
    </xdr:pic>
    <xdr:clientData/>
  </xdr:twoCellAnchor>
  <xdr:twoCellAnchor editAs="oneCell">
    <xdr:from>
      <xdr:col>3</xdr:col>
      <xdr:colOff>503464</xdr:colOff>
      <xdr:row>15</xdr:row>
      <xdr:rowOff>38102</xdr:rowOff>
    </xdr:from>
    <xdr:to>
      <xdr:col>8</xdr:col>
      <xdr:colOff>217714</xdr:colOff>
      <xdr:row>27</xdr:row>
      <xdr:rowOff>168730</xdr:rowOff>
    </xdr:to>
    <xdr:pic>
      <xdr:nvPicPr>
        <xdr:cNvPr id="9" name="Image 8">
          <a:hlinkClick xmlns:r="http://schemas.openxmlformats.org/officeDocument/2006/relationships" r:id="rId12"/>
          <a:extLst>
            <a:ext uri="{FF2B5EF4-FFF2-40B4-BE49-F238E27FC236}">
              <a16:creationId xmlns="" xmlns:a16="http://schemas.microsoft.com/office/drawing/2014/main" id="{00000000-0008-0000-0100-000009000000}"/>
            </a:ext>
          </a:extLst>
        </xdr:cNvPr>
        <xdr:cNvPicPr>
          <a:picLocks noChangeAspect="1"/>
        </xdr:cNvPicPr>
      </xdr:nvPicPr>
      <xdr:blipFill rotWithShape="1">
        <a:blip xmlns:r="http://schemas.openxmlformats.org/officeDocument/2006/relationships" r:embed="rId13" cstate="print"/>
        <a:srcRect l="13841" r="13885" b="14861"/>
        <a:stretch/>
      </xdr:blipFill>
      <xdr:spPr>
        <a:xfrm>
          <a:off x="2789464" y="2895602"/>
          <a:ext cx="3524250" cy="2416628"/>
        </a:xfrm>
        <a:prstGeom prst="rect">
          <a:avLst/>
        </a:prstGeom>
      </xdr:spPr>
    </xdr:pic>
    <xdr:clientData/>
  </xdr:twoCellAnchor>
  <xdr:twoCellAnchor>
    <xdr:from>
      <xdr:col>0</xdr:col>
      <xdr:colOff>136071</xdr:colOff>
      <xdr:row>1</xdr:row>
      <xdr:rowOff>108857</xdr:rowOff>
    </xdr:from>
    <xdr:to>
      <xdr:col>3</xdr:col>
      <xdr:colOff>381000</xdr:colOff>
      <xdr:row>27</xdr:row>
      <xdr:rowOff>149679</xdr:rowOff>
    </xdr:to>
    <xdr:sp macro="" textlink="">
      <xdr:nvSpPr>
        <xdr:cNvPr id="10" name="ZoneTexte 9">
          <a:extLst>
            <a:ext uri="{FF2B5EF4-FFF2-40B4-BE49-F238E27FC236}">
              <a16:creationId xmlns="" xmlns:a16="http://schemas.microsoft.com/office/drawing/2014/main" id="{00000000-0008-0000-0100-00000A000000}"/>
            </a:ext>
          </a:extLst>
        </xdr:cNvPr>
        <xdr:cNvSpPr txBox="1"/>
      </xdr:nvSpPr>
      <xdr:spPr>
        <a:xfrm>
          <a:off x="136071" y="299357"/>
          <a:ext cx="2530929" cy="4993822"/>
        </a:xfrm>
        <a:prstGeom prst="rect">
          <a:avLst/>
        </a:prstGeom>
        <a:solidFill>
          <a:schemeClr val="bg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fr-FR" sz="1100"/>
        </a:p>
        <a:p>
          <a:endParaRPr lang="fr-FR" sz="1100"/>
        </a:p>
        <a:p>
          <a:endParaRPr lang="fr-FR" sz="1100"/>
        </a:p>
        <a:p>
          <a:endParaRPr lang="fr-FR" sz="1100"/>
        </a:p>
        <a:p>
          <a:endParaRPr lang="fr-FR" sz="1100"/>
        </a:p>
        <a:p>
          <a:endParaRPr lang="fr-FR" sz="1100"/>
        </a:p>
        <a:p>
          <a:endParaRPr lang="fr-FR" sz="1100"/>
        </a:p>
        <a:p>
          <a:endParaRPr lang="fr-FR" sz="1100"/>
        </a:p>
        <a:p>
          <a:endParaRPr lang="fr-FR" sz="1100"/>
        </a:p>
        <a:p>
          <a:pPr algn="ctr"/>
          <a:r>
            <a:rPr lang="fr-FR" sz="2800" b="1">
              <a:solidFill>
                <a:schemeClr val="bg1">
                  <a:lumMod val="95000"/>
                </a:schemeClr>
              </a:solidFill>
            </a:rPr>
            <a:t>Acceuil</a:t>
          </a:r>
        </a:p>
      </xdr:txBody>
    </xdr:sp>
    <xdr:clientData/>
  </xdr:twoCellAnchor>
  <xdr:twoCellAnchor editAs="oneCell">
    <xdr:from>
      <xdr:col>0</xdr:col>
      <xdr:colOff>0</xdr:colOff>
      <xdr:row>17</xdr:row>
      <xdr:rowOff>122463</xdr:rowOff>
    </xdr:from>
    <xdr:to>
      <xdr:col>3</xdr:col>
      <xdr:colOff>316876</xdr:colOff>
      <xdr:row>23</xdr:row>
      <xdr:rowOff>166071</xdr:rowOff>
    </xdr:to>
    <xdr:pic>
      <xdr:nvPicPr>
        <xdr:cNvPr id="11" name="Image 10" descr="Image associée">
          <a:extLst>
            <a:ext uri="{FF2B5EF4-FFF2-40B4-BE49-F238E27FC236}">
              <a16:creationId xmlns=""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 xmlns:a14="http://schemas.microsoft.com/office/drawing/2010/main" val="0"/>
            </a:ext>
          </a:extLst>
        </a:blip>
        <a:srcRect/>
        <a:stretch>
          <a:fillRect/>
        </a:stretch>
      </xdr:blipFill>
      <xdr:spPr bwMode="auto">
        <a:xfrm>
          <a:off x="0" y="3360963"/>
          <a:ext cx="2602876" cy="1186608"/>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xdr:from>
      <xdr:col>0</xdr:col>
      <xdr:colOff>693966</xdr:colOff>
      <xdr:row>9</xdr:row>
      <xdr:rowOff>149678</xdr:rowOff>
    </xdr:from>
    <xdr:to>
      <xdr:col>2</xdr:col>
      <xdr:colOff>571502</xdr:colOff>
      <xdr:row>12</xdr:row>
      <xdr:rowOff>81642</xdr:rowOff>
    </xdr:to>
    <xdr:sp macro="" textlink="">
      <xdr:nvSpPr>
        <xdr:cNvPr id="12" name="Rectangle 11">
          <a:extLst>
            <a:ext uri="{FF2B5EF4-FFF2-40B4-BE49-F238E27FC236}">
              <a16:creationId xmlns="" xmlns:a16="http://schemas.microsoft.com/office/drawing/2014/main" id="{00000000-0008-0000-0100-00000C000000}"/>
            </a:ext>
          </a:extLst>
        </xdr:cNvPr>
        <xdr:cNvSpPr/>
      </xdr:nvSpPr>
      <xdr:spPr>
        <a:xfrm>
          <a:off x="693966" y="1864178"/>
          <a:ext cx="1401536" cy="503464"/>
        </a:xfrm>
        <a:prstGeom prst="rect">
          <a:avLst/>
        </a:prstGeom>
        <a:noFill/>
        <a:ln w="5715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editAs="oneCell">
    <xdr:from>
      <xdr:col>0</xdr:col>
      <xdr:colOff>136070</xdr:colOff>
      <xdr:row>1</xdr:row>
      <xdr:rowOff>141600</xdr:rowOff>
    </xdr:from>
    <xdr:to>
      <xdr:col>3</xdr:col>
      <xdr:colOff>379879</xdr:colOff>
      <xdr:row>7</xdr:row>
      <xdr:rowOff>81644</xdr:rowOff>
    </xdr:to>
    <xdr:pic>
      <xdr:nvPicPr>
        <xdr:cNvPr id="13" name="Image 12">
          <a:extLst>
            <a:ext uri="{FF2B5EF4-FFF2-40B4-BE49-F238E27FC236}">
              <a16:creationId xmlns="" xmlns:a16="http://schemas.microsoft.com/office/drawing/2014/main" id="{00000000-0008-0000-0100-00000D000000}"/>
            </a:ext>
          </a:extLst>
        </xdr:cNvPr>
        <xdr:cNvPicPr>
          <a:picLocks noChangeAspect="1"/>
        </xdr:cNvPicPr>
      </xdr:nvPicPr>
      <xdr:blipFill rotWithShape="1">
        <a:blip xmlns:r="http://schemas.openxmlformats.org/officeDocument/2006/relationships" r:embed="rId15" cstate="print"/>
        <a:srcRect l="9310" b="29005"/>
        <a:stretch/>
      </xdr:blipFill>
      <xdr:spPr>
        <a:xfrm>
          <a:off x="136070" y="332100"/>
          <a:ext cx="2529809" cy="10830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247650</xdr:colOff>
      <xdr:row>0</xdr:row>
      <xdr:rowOff>66675</xdr:rowOff>
    </xdr:from>
    <xdr:to>
      <xdr:col>1</xdr:col>
      <xdr:colOff>446044</xdr:colOff>
      <xdr:row>3</xdr:row>
      <xdr:rowOff>85725</xdr:rowOff>
    </xdr:to>
    <xdr:pic>
      <xdr:nvPicPr>
        <xdr:cNvPr id="3" name="Image 2" descr="Image associée">
          <a:extLst>
            <a:ext uri="{FF2B5EF4-FFF2-40B4-BE49-F238E27FC236}">
              <a16:creationId xmlns=""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 xmlns:a14="http://schemas.microsoft.com/office/drawing/2010/main" val="0"/>
            </a:ext>
          </a:extLst>
        </a:blip>
        <a:srcRect/>
        <a:stretch>
          <a:fillRect/>
        </a:stretch>
      </xdr:blipFill>
      <xdr:spPr bwMode="auto">
        <a:xfrm>
          <a:off x="247650" y="66675"/>
          <a:ext cx="1369969" cy="61912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2</xdr:col>
      <xdr:colOff>349250</xdr:colOff>
      <xdr:row>0</xdr:row>
      <xdr:rowOff>73024</xdr:rowOff>
    </xdr:from>
    <xdr:to>
      <xdr:col>2</xdr:col>
      <xdr:colOff>1079500</xdr:colOff>
      <xdr:row>3</xdr:row>
      <xdr:rowOff>104774</xdr:rowOff>
    </xdr:to>
    <xdr:pic>
      <xdr:nvPicPr>
        <xdr:cNvPr id="2" name="Graphique 1" descr="Retour">
          <a:hlinkClick xmlns:r="http://schemas.openxmlformats.org/officeDocument/2006/relationships" r:id="rId2"/>
          <a:extLst>
            <a:ext uri="{FF2B5EF4-FFF2-40B4-BE49-F238E27FC236}">
              <a16:creationId xmlns="" xmlns:a16="http://schemas.microsoft.com/office/drawing/2014/main" id="{1CE4E79F-4AF9-4FA9-9558-680B4D232267}"/>
            </a:ext>
          </a:extLst>
        </xdr:cNvPr>
        <xdr:cNvPicPr>
          <a:picLocks noChangeAspect="1"/>
        </xdr:cNvPicPr>
      </xdr:nvPicPr>
      <xdr:blipFill>
        <a:blip xmlns:r="http://schemas.openxmlformats.org/officeDocument/2006/relationships" r:embed="rId3" cstate="print">
          <a:extLst>
            <a:ext uri="{28A0092B-C50C-407E-A947-70E740481C1C}">
              <a14:useLocalDpi xmlns="" xmlns:a14="http://schemas.microsoft.com/office/drawing/2010/main" val="0"/>
            </a:ext>
            <a:ext uri="{96DAC541-7B7A-43D3-8B79-37D633B846F1}">
              <asvg:svgBlip xmlns="" xmlns:asvg="http://schemas.microsoft.com/office/drawing/2016/SVG/main" r:embed="rId4"/>
            </a:ext>
          </a:extLst>
        </a:blip>
        <a:stretch>
          <a:fillRect/>
        </a:stretch>
      </xdr:blipFill>
      <xdr:spPr>
        <a:xfrm>
          <a:off x="2254250" y="73024"/>
          <a:ext cx="730250" cy="6508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244929</xdr:colOff>
      <xdr:row>52</xdr:row>
      <xdr:rowOff>39119</xdr:rowOff>
    </xdr:from>
    <xdr:to>
      <xdr:col>3</xdr:col>
      <xdr:colOff>1700893</xdr:colOff>
      <xdr:row>72</xdr:row>
      <xdr:rowOff>54428</xdr:rowOff>
    </xdr:to>
    <xdr:graphicFrame macro="">
      <xdr:nvGraphicFramePr>
        <xdr:cNvPr id="2" name="Graphique 1">
          <a:extLst>
            <a:ext uri="{FF2B5EF4-FFF2-40B4-BE49-F238E27FC236}">
              <a16:creationId xmlns=""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190500</xdr:colOff>
      <xdr:row>52</xdr:row>
      <xdr:rowOff>54426</xdr:rowOff>
    </xdr:from>
    <xdr:to>
      <xdr:col>16</xdr:col>
      <xdr:colOff>449036</xdr:colOff>
      <xdr:row>72</xdr:row>
      <xdr:rowOff>54429</xdr:rowOff>
    </xdr:to>
    <xdr:graphicFrame macro="">
      <xdr:nvGraphicFramePr>
        <xdr:cNvPr id="4" name="Graphique 3">
          <a:extLst>
            <a:ext uri="{FF2B5EF4-FFF2-40B4-BE49-F238E27FC236}">
              <a16:creationId xmlns=""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1973036</xdr:colOff>
      <xdr:row>52</xdr:row>
      <xdr:rowOff>42521</xdr:rowOff>
    </xdr:from>
    <xdr:to>
      <xdr:col>8</xdr:col>
      <xdr:colOff>645997</xdr:colOff>
      <xdr:row>72</xdr:row>
      <xdr:rowOff>40820</xdr:rowOff>
    </xdr:to>
    <xdr:graphicFrame macro="">
      <xdr:nvGraphicFramePr>
        <xdr:cNvPr id="5" name="Graphique 4">
          <a:extLst>
            <a:ext uri="{FF2B5EF4-FFF2-40B4-BE49-F238E27FC236}">
              <a16:creationId xmlns=""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2154464</xdr:colOff>
      <xdr:row>39</xdr:row>
      <xdr:rowOff>185951</xdr:rowOff>
    </xdr:from>
    <xdr:to>
      <xdr:col>6</xdr:col>
      <xdr:colOff>1086303</xdr:colOff>
      <xdr:row>44</xdr:row>
      <xdr:rowOff>63487</xdr:rowOff>
    </xdr:to>
    <xdr:sp macro="" textlink="">
      <xdr:nvSpPr>
        <xdr:cNvPr id="8" name="ZoneTexte 7">
          <a:extLst>
            <a:ext uri="{FF2B5EF4-FFF2-40B4-BE49-F238E27FC236}">
              <a16:creationId xmlns="" xmlns:a16="http://schemas.microsoft.com/office/drawing/2014/main" id="{00000000-0008-0000-0400-000008000000}"/>
            </a:ext>
          </a:extLst>
        </xdr:cNvPr>
        <xdr:cNvSpPr txBox="1"/>
      </xdr:nvSpPr>
      <xdr:spPr>
        <a:xfrm>
          <a:off x="6821714" y="1344826"/>
          <a:ext cx="3995964" cy="830036"/>
        </a:xfrm>
        <a:prstGeom prst="rect">
          <a:avLst/>
        </a:prstGeom>
        <a:ln w="38100"/>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fr-FR" sz="1600" b="1"/>
            <a:t>Tableau de Bord Maintenance</a:t>
          </a:r>
        </a:p>
        <a:p>
          <a:pPr algn="ctr"/>
          <a:r>
            <a:rPr lang="fr-FR" sz="1600" b="1"/>
            <a:t>PARC</a:t>
          </a:r>
          <a:r>
            <a:rPr lang="fr-FR" sz="1600" b="1" baseline="0"/>
            <a:t> AUTO</a:t>
          </a:r>
          <a:endParaRPr lang="fr-FR" sz="1600" b="1"/>
        </a:p>
      </xdr:txBody>
    </xdr:sp>
    <xdr:clientData/>
  </xdr:twoCellAnchor>
  <xdr:twoCellAnchor>
    <xdr:from>
      <xdr:col>4</xdr:col>
      <xdr:colOff>966107</xdr:colOff>
      <xdr:row>49</xdr:row>
      <xdr:rowOff>68036</xdr:rowOff>
    </xdr:from>
    <xdr:to>
      <xdr:col>6</xdr:col>
      <xdr:colOff>1238250</xdr:colOff>
      <xdr:row>51</xdr:row>
      <xdr:rowOff>81643</xdr:rowOff>
    </xdr:to>
    <xdr:sp macro="" textlink="">
      <xdr:nvSpPr>
        <xdr:cNvPr id="9" name="ZoneTexte 8">
          <a:extLst>
            <a:ext uri="{FF2B5EF4-FFF2-40B4-BE49-F238E27FC236}">
              <a16:creationId xmlns="" xmlns:a16="http://schemas.microsoft.com/office/drawing/2014/main" id="{00000000-0008-0000-0400-000009000000}"/>
            </a:ext>
          </a:extLst>
        </xdr:cNvPr>
        <xdr:cNvSpPr txBox="1"/>
      </xdr:nvSpPr>
      <xdr:spPr>
        <a:xfrm>
          <a:off x="7592786" y="2367643"/>
          <a:ext cx="2571750" cy="394607"/>
        </a:xfrm>
        <a:prstGeom prst="rect">
          <a:avLst/>
        </a:prstGeom>
        <a:ln/>
        <a:scene3d>
          <a:camera prst="orthographicFront"/>
          <a:lightRig rig="threePt" dir="t"/>
        </a:scene3d>
        <a:sp3d>
          <a:bevelT/>
        </a:sp3d>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lstStyle/>
        <a:p>
          <a:pPr algn="ctr"/>
          <a:r>
            <a:rPr lang="fr-FR" sz="1400" b="1"/>
            <a:t>Engins</a:t>
          </a:r>
          <a:r>
            <a:rPr lang="fr-FR" sz="1400" b="1" baseline="0"/>
            <a:t> Roulants</a:t>
          </a:r>
          <a:endParaRPr lang="fr-FR" sz="1400" b="1"/>
        </a:p>
      </xdr:txBody>
    </xdr:sp>
    <xdr:clientData/>
  </xdr:twoCellAnchor>
  <xdr:twoCellAnchor editAs="oneCell">
    <xdr:from>
      <xdr:col>14</xdr:col>
      <xdr:colOff>428615</xdr:colOff>
      <xdr:row>39</xdr:row>
      <xdr:rowOff>4523</xdr:rowOff>
    </xdr:from>
    <xdr:to>
      <xdr:col>17</xdr:col>
      <xdr:colOff>22002</xdr:colOff>
      <xdr:row>44</xdr:row>
      <xdr:rowOff>118688</xdr:rowOff>
    </xdr:to>
    <xdr:pic>
      <xdr:nvPicPr>
        <xdr:cNvPr id="10" name="Image 9" descr="Image associée">
          <a:extLst>
            <a:ext uri="{FF2B5EF4-FFF2-40B4-BE49-F238E27FC236}">
              <a16:creationId xmlns="" xmlns:a16="http://schemas.microsoft.com/office/drawing/2014/main" id="{00000000-0008-0000-04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 xmlns:a14="http://schemas.microsoft.com/office/drawing/2010/main" val="0"/>
            </a:ext>
          </a:extLst>
        </a:blip>
        <a:srcRect/>
        <a:stretch>
          <a:fillRect/>
        </a:stretch>
      </xdr:blipFill>
      <xdr:spPr bwMode="auto">
        <a:xfrm>
          <a:off x="16478240" y="1163398"/>
          <a:ext cx="1736513" cy="106666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xdr:from>
      <xdr:col>0</xdr:col>
      <xdr:colOff>551090</xdr:colOff>
      <xdr:row>78</xdr:row>
      <xdr:rowOff>149679</xdr:rowOff>
    </xdr:from>
    <xdr:to>
      <xdr:col>3</xdr:col>
      <xdr:colOff>1555983</xdr:colOff>
      <xdr:row>97</xdr:row>
      <xdr:rowOff>130179</xdr:rowOff>
    </xdr:to>
    <xdr:graphicFrame macro="">
      <xdr:nvGraphicFramePr>
        <xdr:cNvPr id="11" name="Graphique 10">
          <a:extLst>
            <a:ext uri="{FF2B5EF4-FFF2-40B4-BE49-F238E27FC236}">
              <a16:creationId xmlns="" xmlns:a16="http://schemas.microsoft.com/office/drawing/2014/main" id="{00000000-0008-0000-0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1952624</xdr:colOff>
      <xdr:row>78</xdr:row>
      <xdr:rowOff>176893</xdr:rowOff>
    </xdr:from>
    <xdr:to>
      <xdr:col>8</xdr:col>
      <xdr:colOff>603481</xdr:colOff>
      <xdr:row>97</xdr:row>
      <xdr:rowOff>157393</xdr:rowOff>
    </xdr:to>
    <xdr:graphicFrame macro="">
      <xdr:nvGraphicFramePr>
        <xdr:cNvPr id="12" name="Graphique 11">
          <a:extLst>
            <a:ext uri="{FF2B5EF4-FFF2-40B4-BE49-F238E27FC236}">
              <a16:creationId xmlns="" xmlns:a16="http://schemas.microsoft.com/office/drawing/2014/main" id="{00000000-0008-0000-04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224519</xdr:colOff>
      <xdr:row>78</xdr:row>
      <xdr:rowOff>190497</xdr:rowOff>
    </xdr:from>
    <xdr:to>
      <xdr:col>16</xdr:col>
      <xdr:colOff>290519</xdr:colOff>
      <xdr:row>97</xdr:row>
      <xdr:rowOff>170997</xdr:rowOff>
    </xdr:to>
    <xdr:graphicFrame macro="">
      <xdr:nvGraphicFramePr>
        <xdr:cNvPr id="13" name="Graphique 12">
          <a:extLst>
            <a:ext uri="{FF2B5EF4-FFF2-40B4-BE49-F238E27FC236}">
              <a16:creationId xmlns="" xmlns:a16="http://schemas.microsoft.com/office/drawing/2014/main" id="{00000000-0008-0000-04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982437</xdr:colOff>
      <xdr:row>75</xdr:row>
      <xdr:rowOff>165993</xdr:rowOff>
    </xdr:from>
    <xdr:to>
      <xdr:col>6</xdr:col>
      <xdr:colOff>1254580</xdr:colOff>
      <xdr:row>77</xdr:row>
      <xdr:rowOff>179600</xdr:rowOff>
    </xdr:to>
    <xdr:sp macro="" textlink="">
      <xdr:nvSpPr>
        <xdr:cNvPr id="15" name="ZoneTexte 14">
          <a:extLst>
            <a:ext uri="{FF2B5EF4-FFF2-40B4-BE49-F238E27FC236}">
              <a16:creationId xmlns="" xmlns:a16="http://schemas.microsoft.com/office/drawing/2014/main" id="{00000000-0008-0000-0400-00000F000000}"/>
            </a:ext>
          </a:extLst>
        </xdr:cNvPr>
        <xdr:cNvSpPr txBox="1"/>
      </xdr:nvSpPr>
      <xdr:spPr>
        <a:xfrm>
          <a:off x="7609116" y="7418600"/>
          <a:ext cx="2571750" cy="394607"/>
        </a:xfrm>
        <a:prstGeom prst="rect">
          <a:avLst/>
        </a:prstGeom>
        <a:solidFill>
          <a:schemeClr val="accent4">
            <a:lumMod val="75000"/>
          </a:schemeClr>
        </a:solidFill>
        <a:ln/>
        <a:scene3d>
          <a:camera prst="orthographicFront"/>
          <a:lightRig rig="threePt" dir="t"/>
        </a:scene3d>
        <a:sp3d>
          <a:bevelT/>
        </a:sp3d>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lstStyle/>
        <a:p>
          <a:pPr algn="ctr"/>
          <a:r>
            <a:rPr lang="fr-FR" sz="1400" b="1"/>
            <a:t>Camions</a:t>
          </a:r>
          <a:r>
            <a:rPr lang="fr-FR" sz="1400" b="1" baseline="0"/>
            <a:t> SOLO</a:t>
          </a:r>
          <a:endParaRPr lang="fr-FR" sz="1400" b="1"/>
        </a:p>
      </xdr:txBody>
    </xdr:sp>
    <xdr:clientData/>
  </xdr:twoCellAnchor>
  <xdr:twoCellAnchor>
    <xdr:from>
      <xdr:col>0</xdr:col>
      <xdr:colOff>639536</xdr:colOff>
      <xdr:row>104</xdr:row>
      <xdr:rowOff>40818</xdr:rowOff>
    </xdr:from>
    <xdr:to>
      <xdr:col>3</xdr:col>
      <xdr:colOff>1644429</xdr:colOff>
      <xdr:row>123</xdr:row>
      <xdr:rowOff>21318</xdr:rowOff>
    </xdr:to>
    <xdr:graphicFrame macro="">
      <xdr:nvGraphicFramePr>
        <xdr:cNvPr id="17" name="Graphique 16">
          <a:extLst>
            <a:ext uri="{FF2B5EF4-FFF2-40B4-BE49-F238E27FC236}">
              <a16:creationId xmlns="" xmlns:a16="http://schemas.microsoft.com/office/drawing/2014/main" id="{00000000-0008-0000-04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1891394</xdr:colOff>
      <xdr:row>103</xdr:row>
      <xdr:rowOff>176892</xdr:rowOff>
    </xdr:from>
    <xdr:to>
      <xdr:col>8</xdr:col>
      <xdr:colOff>666750</xdr:colOff>
      <xdr:row>122</xdr:row>
      <xdr:rowOff>190499</xdr:rowOff>
    </xdr:to>
    <xdr:graphicFrame macro="">
      <xdr:nvGraphicFramePr>
        <xdr:cNvPr id="18" name="Graphique 17">
          <a:extLst>
            <a:ext uri="{FF2B5EF4-FFF2-40B4-BE49-F238E27FC236}">
              <a16:creationId xmlns="" xmlns:a16="http://schemas.microsoft.com/office/drawing/2014/main" id="{00000000-0008-0000-04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176891</xdr:colOff>
      <xdr:row>104</xdr:row>
      <xdr:rowOff>29932</xdr:rowOff>
    </xdr:from>
    <xdr:to>
      <xdr:col>16</xdr:col>
      <xdr:colOff>242891</xdr:colOff>
      <xdr:row>123</xdr:row>
      <xdr:rowOff>10432</xdr:rowOff>
    </xdr:to>
    <xdr:graphicFrame macro="">
      <xdr:nvGraphicFramePr>
        <xdr:cNvPr id="19" name="Graphique 18">
          <a:extLst>
            <a:ext uri="{FF2B5EF4-FFF2-40B4-BE49-F238E27FC236}">
              <a16:creationId xmlns="" xmlns:a16="http://schemas.microsoft.com/office/drawing/2014/main" id="{00000000-0008-0000-04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998767</xdr:colOff>
      <xdr:row>100</xdr:row>
      <xdr:rowOff>182312</xdr:rowOff>
    </xdr:from>
    <xdr:to>
      <xdr:col>6</xdr:col>
      <xdr:colOff>1270910</xdr:colOff>
      <xdr:row>103</xdr:row>
      <xdr:rowOff>5419</xdr:rowOff>
    </xdr:to>
    <xdr:sp macro="" textlink="">
      <xdr:nvSpPr>
        <xdr:cNvPr id="20" name="ZoneTexte 19">
          <a:extLst>
            <a:ext uri="{FF2B5EF4-FFF2-40B4-BE49-F238E27FC236}">
              <a16:creationId xmlns="" xmlns:a16="http://schemas.microsoft.com/office/drawing/2014/main" id="{00000000-0008-0000-0400-000014000000}"/>
            </a:ext>
          </a:extLst>
        </xdr:cNvPr>
        <xdr:cNvSpPr txBox="1"/>
      </xdr:nvSpPr>
      <xdr:spPr>
        <a:xfrm>
          <a:off x="7625446" y="12197419"/>
          <a:ext cx="2571750" cy="394607"/>
        </a:xfrm>
        <a:prstGeom prst="rect">
          <a:avLst/>
        </a:prstGeom>
        <a:solidFill>
          <a:schemeClr val="accent2">
            <a:lumMod val="75000"/>
          </a:schemeClr>
        </a:solidFill>
        <a:ln/>
        <a:scene3d>
          <a:camera prst="orthographicFront"/>
          <a:lightRig rig="threePt" dir="t"/>
        </a:scene3d>
        <a:sp3d>
          <a:bevelT/>
        </a:sp3d>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lstStyle/>
        <a:p>
          <a:pPr algn="ctr"/>
          <a:r>
            <a:rPr lang="fr-FR" sz="1400" b="1"/>
            <a:t>Semi</a:t>
          </a:r>
          <a:r>
            <a:rPr lang="fr-FR" sz="1400" b="1" baseline="0"/>
            <a:t> Remorques</a:t>
          </a:r>
          <a:endParaRPr lang="fr-FR" sz="1400" b="1"/>
        </a:p>
      </xdr:txBody>
    </xdr:sp>
    <xdr:clientData/>
  </xdr:twoCellAnchor>
  <xdr:twoCellAnchor editAs="oneCell">
    <xdr:from>
      <xdr:col>12</xdr:col>
      <xdr:colOff>612322</xdr:colOff>
      <xdr:row>38</xdr:row>
      <xdr:rowOff>149679</xdr:rowOff>
    </xdr:from>
    <xdr:to>
      <xdr:col>14</xdr:col>
      <xdr:colOff>84365</xdr:colOff>
      <xdr:row>43</xdr:row>
      <xdr:rowOff>152400</xdr:rowOff>
    </xdr:to>
    <xdr:pic>
      <xdr:nvPicPr>
        <xdr:cNvPr id="7" name="Graphique 6" descr="Retour">
          <a:hlinkClick xmlns:r="http://schemas.openxmlformats.org/officeDocument/2006/relationships" r:id="rId11"/>
          <a:extLst>
            <a:ext uri="{FF2B5EF4-FFF2-40B4-BE49-F238E27FC236}">
              <a16:creationId xmlns="" xmlns:a16="http://schemas.microsoft.com/office/drawing/2014/main" id="{E44DB572-76EE-4741-8671-CFD39843A7CC}"/>
            </a:ext>
          </a:extLst>
        </xdr:cNvPr>
        <xdr:cNvPicPr>
          <a:picLocks noChangeAspect="1"/>
        </xdr:cNvPicPr>
      </xdr:nvPicPr>
      <xdr:blipFill>
        <a:blip xmlns:r="http://schemas.openxmlformats.org/officeDocument/2006/relationships" r:embed="rId12" cstate="print">
          <a:extLst>
            <a:ext uri="{28A0092B-C50C-407E-A947-70E740481C1C}">
              <a14:useLocalDpi xmlns="" xmlns:a14="http://schemas.microsoft.com/office/drawing/2010/main" val="0"/>
            </a:ext>
            <a:ext uri="{96DAC541-7B7A-43D3-8B79-37D633B846F1}">
              <asvg:svgBlip xmlns="" xmlns:asvg="http://schemas.microsoft.com/office/drawing/2016/SVG/main" r:embed="rId13"/>
            </a:ext>
          </a:extLst>
        </a:blip>
        <a:stretch>
          <a:fillRect/>
        </a:stretch>
      </xdr:blipFill>
      <xdr:spPr>
        <a:xfrm>
          <a:off x="14409965" y="340179"/>
          <a:ext cx="914400" cy="914400"/>
        </a:xfrm>
        <a:prstGeom prst="rect">
          <a:avLst/>
        </a:prstGeom>
      </xdr:spPr>
    </xdr:pic>
    <xdr:clientData/>
  </xdr:twoCellAnchor>
  <xdr:twoCellAnchor editAs="oneCell">
    <xdr:from>
      <xdr:col>0</xdr:col>
      <xdr:colOff>27214</xdr:colOff>
      <xdr:row>44</xdr:row>
      <xdr:rowOff>5443</xdr:rowOff>
    </xdr:from>
    <xdr:to>
      <xdr:col>3</xdr:col>
      <xdr:colOff>136070</xdr:colOff>
      <xdr:row>48</xdr:row>
      <xdr:rowOff>176892</xdr:rowOff>
    </xdr:to>
    <xdr:sp macro="" textlink="">
      <xdr:nvSpPr>
        <xdr:cNvPr id="21" name="Rectangle 20"/>
        <xdr:cNvSpPr>
          <a:spLocks noTextEdit="1"/>
        </xdr:cNvSpPr>
      </xdr:nvSpPr>
      <xdr:spPr>
        <a:xfrm>
          <a:off x="27214" y="957943"/>
          <a:ext cx="4544785" cy="933449"/>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peuvent être utilisés au moins dans Excel 2010.Si la forme a été modifiée dans une version antérieure d’Excel, ou si le classeur a été enregistré dans Excel 2003 ou une version antérieure, le segment ne peut pas être utilisé.</a:t>
          </a:r>
        </a:p>
      </xdr:txBody>
    </xdr:sp>
    <xdr:clientData/>
  </xdr:twoCellAnchor>
  <xdr:twoCellAnchor editAs="oneCell">
    <xdr:from>
      <xdr:col>0</xdr:col>
      <xdr:colOff>27215</xdr:colOff>
      <xdr:row>0</xdr:row>
      <xdr:rowOff>0</xdr:rowOff>
    </xdr:from>
    <xdr:to>
      <xdr:col>3</xdr:col>
      <xdr:colOff>136072</xdr:colOff>
      <xdr:row>43</xdr:row>
      <xdr:rowOff>185057</xdr:rowOff>
    </xdr:to>
    <xdr:sp macro="" textlink="">
      <xdr:nvSpPr>
        <xdr:cNvPr id="22" name="Rectangle 21"/>
        <xdr:cNvSpPr>
          <a:spLocks noTextEdit="1"/>
        </xdr:cNvSpPr>
      </xdr:nvSpPr>
      <xdr:spPr>
        <a:xfrm>
          <a:off x="27215" y="0"/>
          <a:ext cx="4544786" cy="947057"/>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peuvent être utilisés au moins dans Excel 2010.Si la forme a été modifiée dans une version antérieure d’Excel, ou si le classeur a été enregistré dans Excel 2003 ou une version antérieure, le segment ne peut pas être utilisé.</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223042</xdr:colOff>
      <xdr:row>16</xdr:row>
      <xdr:rowOff>45356</xdr:rowOff>
    </xdr:from>
    <xdr:to>
      <xdr:col>2</xdr:col>
      <xdr:colOff>1589200</xdr:colOff>
      <xdr:row>21</xdr:row>
      <xdr:rowOff>176326</xdr:rowOff>
    </xdr:to>
    <xdr:pic>
      <xdr:nvPicPr>
        <xdr:cNvPr id="3" name="Image 2">
          <a:extLst>
            <a:ext uri="{FF2B5EF4-FFF2-40B4-BE49-F238E27FC236}">
              <a16:creationId xmlns="" xmlns:a16="http://schemas.microsoft.com/office/drawing/2014/main" id="{00000000-0008-0000-0800-000003000000}"/>
            </a:ext>
          </a:extLst>
        </xdr:cNvPr>
        <xdr:cNvPicPr>
          <a:picLocks noChangeAspect="1"/>
        </xdr:cNvPicPr>
      </xdr:nvPicPr>
      <xdr:blipFill>
        <a:blip xmlns:r="http://schemas.openxmlformats.org/officeDocument/2006/relationships" r:embed="rId1" cstate="print"/>
        <a:stretch>
          <a:fillRect/>
        </a:stretch>
      </xdr:blipFill>
      <xdr:spPr>
        <a:xfrm>
          <a:off x="3032917" y="4188731"/>
          <a:ext cx="1366158" cy="1162845"/>
        </a:xfrm>
        <a:prstGeom prst="rect">
          <a:avLst/>
        </a:prstGeom>
      </xdr:spPr>
    </xdr:pic>
    <xdr:clientData/>
  </xdr:twoCellAnchor>
  <xdr:twoCellAnchor>
    <xdr:from>
      <xdr:col>1</xdr:col>
      <xdr:colOff>852151</xdr:colOff>
      <xdr:row>20</xdr:row>
      <xdr:rowOff>136071</xdr:rowOff>
    </xdr:from>
    <xdr:to>
      <xdr:col>1</xdr:col>
      <xdr:colOff>1137900</xdr:colOff>
      <xdr:row>21</xdr:row>
      <xdr:rowOff>183695</xdr:rowOff>
    </xdr:to>
    <xdr:sp macro="" textlink="">
      <xdr:nvSpPr>
        <xdr:cNvPr id="4" name="Rectangle 3">
          <a:extLst>
            <a:ext uri="{FF2B5EF4-FFF2-40B4-BE49-F238E27FC236}">
              <a16:creationId xmlns="" xmlns:a16="http://schemas.microsoft.com/office/drawing/2014/main" id="{00000000-0008-0000-0800-000004000000}"/>
            </a:ext>
          </a:extLst>
        </xdr:cNvPr>
        <xdr:cNvSpPr/>
      </xdr:nvSpPr>
      <xdr:spPr>
        <a:xfrm>
          <a:off x="2525830" y="5252357"/>
          <a:ext cx="285749" cy="251731"/>
        </a:xfrm>
        <a:prstGeom prst="rect">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400" b="1">
              <a:solidFill>
                <a:schemeClr val="bg1"/>
              </a:solidFill>
            </a:rPr>
            <a:t>1</a:t>
          </a:r>
        </a:p>
      </xdr:txBody>
    </xdr:sp>
    <xdr:clientData/>
  </xdr:twoCellAnchor>
  <xdr:oneCellAnchor>
    <xdr:from>
      <xdr:col>2</xdr:col>
      <xdr:colOff>16667</xdr:colOff>
      <xdr:row>39</xdr:row>
      <xdr:rowOff>9313</xdr:rowOff>
    </xdr:from>
    <xdr:ext cx="1366158" cy="1133688"/>
    <xdr:pic>
      <xdr:nvPicPr>
        <xdr:cNvPr id="5" name="Image 4">
          <a:extLst>
            <a:ext uri="{FF2B5EF4-FFF2-40B4-BE49-F238E27FC236}">
              <a16:creationId xmlns="" xmlns:a16="http://schemas.microsoft.com/office/drawing/2014/main" id="{00000000-0008-0000-0800-000005000000}"/>
            </a:ext>
          </a:extLst>
        </xdr:cNvPr>
        <xdr:cNvPicPr>
          <a:picLocks noChangeAspect="1"/>
        </xdr:cNvPicPr>
      </xdr:nvPicPr>
      <xdr:blipFill>
        <a:blip xmlns:r="http://schemas.openxmlformats.org/officeDocument/2006/relationships" r:embed="rId2" cstate="print"/>
        <a:stretch>
          <a:fillRect/>
        </a:stretch>
      </xdr:blipFill>
      <xdr:spPr>
        <a:xfrm>
          <a:off x="2833346" y="9003634"/>
          <a:ext cx="1366158" cy="1133688"/>
        </a:xfrm>
        <a:prstGeom prst="rect">
          <a:avLst/>
        </a:prstGeom>
      </xdr:spPr>
    </xdr:pic>
    <xdr:clientData/>
  </xdr:oneCellAnchor>
  <xdr:twoCellAnchor>
    <xdr:from>
      <xdr:col>1</xdr:col>
      <xdr:colOff>852151</xdr:colOff>
      <xdr:row>43</xdr:row>
      <xdr:rowOff>149678</xdr:rowOff>
    </xdr:from>
    <xdr:to>
      <xdr:col>1</xdr:col>
      <xdr:colOff>1137900</xdr:colOff>
      <xdr:row>45</xdr:row>
      <xdr:rowOff>6802</xdr:rowOff>
    </xdr:to>
    <xdr:sp macro="" textlink="">
      <xdr:nvSpPr>
        <xdr:cNvPr id="6" name="Rectangle 5">
          <a:extLst>
            <a:ext uri="{FF2B5EF4-FFF2-40B4-BE49-F238E27FC236}">
              <a16:creationId xmlns="" xmlns:a16="http://schemas.microsoft.com/office/drawing/2014/main" id="{00000000-0008-0000-0800-000006000000}"/>
            </a:ext>
          </a:extLst>
        </xdr:cNvPr>
        <xdr:cNvSpPr/>
      </xdr:nvSpPr>
      <xdr:spPr>
        <a:xfrm>
          <a:off x="2525830" y="9960428"/>
          <a:ext cx="285749" cy="265338"/>
        </a:xfrm>
        <a:prstGeom prst="rect">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400" b="1">
              <a:solidFill>
                <a:schemeClr val="bg1"/>
              </a:solidFill>
            </a:rPr>
            <a:t>2</a:t>
          </a:r>
        </a:p>
      </xdr:txBody>
    </xdr:sp>
    <xdr:clientData/>
  </xdr:twoCellAnchor>
  <xdr:oneCellAnchor>
    <xdr:from>
      <xdr:col>6</xdr:col>
      <xdr:colOff>16667</xdr:colOff>
      <xdr:row>9</xdr:row>
      <xdr:rowOff>47625</xdr:rowOff>
    </xdr:from>
    <xdr:ext cx="1366158" cy="1190625"/>
    <xdr:pic>
      <xdr:nvPicPr>
        <xdr:cNvPr id="7" name="Image 6">
          <a:extLst>
            <a:ext uri="{FF2B5EF4-FFF2-40B4-BE49-F238E27FC236}">
              <a16:creationId xmlns="" xmlns:a16="http://schemas.microsoft.com/office/drawing/2014/main" id="{00000000-0008-0000-0800-000007000000}"/>
            </a:ext>
          </a:extLst>
        </xdr:cNvPr>
        <xdr:cNvPicPr>
          <a:picLocks noChangeAspect="1"/>
        </xdr:cNvPicPr>
      </xdr:nvPicPr>
      <xdr:blipFill>
        <a:blip xmlns:r="http://schemas.openxmlformats.org/officeDocument/2006/relationships" r:embed="rId3" cstate="print"/>
        <a:stretch>
          <a:fillRect/>
        </a:stretch>
      </xdr:blipFill>
      <xdr:spPr>
        <a:xfrm>
          <a:off x="7668417" y="2746375"/>
          <a:ext cx="1366158" cy="1190625"/>
        </a:xfrm>
        <a:prstGeom prst="rect">
          <a:avLst/>
        </a:prstGeom>
      </xdr:spPr>
    </xdr:pic>
    <xdr:clientData/>
  </xdr:oneCellAnchor>
  <xdr:twoCellAnchor>
    <xdr:from>
      <xdr:col>5</xdr:col>
      <xdr:colOff>933794</xdr:colOff>
      <xdr:row>13</xdr:row>
      <xdr:rowOff>136071</xdr:rowOff>
    </xdr:from>
    <xdr:to>
      <xdr:col>5</xdr:col>
      <xdr:colOff>1219543</xdr:colOff>
      <xdr:row>14</xdr:row>
      <xdr:rowOff>183695</xdr:rowOff>
    </xdr:to>
    <xdr:sp macro="" textlink="">
      <xdr:nvSpPr>
        <xdr:cNvPr id="8" name="Rectangle 7">
          <a:extLst>
            <a:ext uri="{FF2B5EF4-FFF2-40B4-BE49-F238E27FC236}">
              <a16:creationId xmlns="" xmlns:a16="http://schemas.microsoft.com/office/drawing/2014/main" id="{00000000-0008-0000-0800-000008000000}"/>
            </a:ext>
          </a:extLst>
        </xdr:cNvPr>
        <xdr:cNvSpPr/>
      </xdr:nvSpPr>
      <xdr:spPr>
        <a:xfrm>
          <a:off x="7369973" y="3823607"/>
          <a:ext cx="285749" cy="251731"/>
        </a:xfrm>
        <a:prstGeom prst="rect">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400" b="1">
              <a:solidFill>
                <a:schemeClr val="bg1"/>
              </a:solidFill>
            </a:rPr>
            <a:t>3</a:t>
          </a:r>
        </a:p>
      </xdr:txBody>
    </xdr:sp>
    <xdr:clientData/>
  </xdr:twoCellAnchor>
  <xdr:oneCellAnchor>
    <xdr:from>
      <xdr:col>6</xdr:col>
      <xdr:colOff>16667</xdr:colOff>
      <xdr:row>21</xdr:row>
      <xdr:rowOff>39362</xdr:rowOff>
    </xdr:from>
    <xdr:ext cx="1366158" cy="1133688"/>
    <xdr:pic>
      <xdr:nvPicPr>
        <xdr:cNvPr id="9" name="Image 8">
          <a:extLst>
            <a:ext uri="{FF2B5EF4-FFF2-40B4-BE49-F238E27FC236}">
              <a16:creationId xmlns="" xmlns:a16="http://schemas.microsoft.com/office/drawing/2014/main" id="{00000000-0008-0000-0800-000009000000}"/>
            </a:ext>
          </a:extLst>
        </xdr:cNvPr>
        <xdr:cNvPicPr>
          <a:picLocks noChangeAspect="1"/>
        </xdr:cNvPicPr>
      </xdr:nvPicPr>
      <xdr:blipFill>
        <a:blip xmlns:r="http://schemas.openxmlformats.org/officeDocument/2006/relationships" r:embed="rId2" cstate="print"/>
        <a:stretch>
          <a:fillRect/>
        </a:stretch>
      </xdr:blipFill>
      <xdr:spPr>
        <a:xfrm>
          <a:off x="7668417" y="5214612"/>
          <a:ext cx="1366158" cy="1133688"/>
        </a:xfrm>
        <a:prstGeom prst="rect">
          <a:avLst/>
        </a:prstGeom>
      </xdr:spPr>
    </xdr:pic>
    <xdr:clientData/>
  </xdr:oneCellAnchor>
  <xdr:twoCellAnchor>
    <xdr:from>
      <xdr:col>5</xdr:col>
      <xdr:colOff>933794</xdr:colOff>
      <xdr:row>25</xdr:row>
      <xdr:rowOff>136071</xdr:rowOff>
    </xdr:from>
    <xdr:to>
      <xdr:col>5</xdr:col>
      <xdr:colOff>1219543</xdr:colOff>
      <xdr:row>26</xdr:row>
      <xdr:rowOff>183695</xdr:rowOff>
    </xdr:to>
    <xdr:sp macro="" textlink="">
      <xdr:nvSpPr>
        <xdr:cNvPr id="10" name="Rectangle 9">
          <a:extLst>
            <a:ext uri="{FF2B5EF4-FFF2-40B4-BE49-F238E27FC236}">
              <a16:creationId xmlns="" xmlns:a16="http://schemas.microsoft.com/office/drawing/2014/main" id="{00000000-0008-0000-0800-00000A000000}"/>
            </a:ext>
          </a:extLst>
        </xdr:cNvPr>
        <xdr:cNvSpPr/>
      </xdr:nvSpPr>
      <xdr:spPr>
        <a:xfrm>
          <a:off x="7369973" y="6272892"/>
          <a:ext cx="285749" cy="251732"/>
        </a:xfrm>
        <a:prstGeom prst="rect">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400" b="1">
              <a:solidFill>
                <a:schemeClr val="bg1"/>
              </a:solidFill>
            </a:rPr>
            <a:t>4</a:t>
          </a:r>
        </a:p>
      </xdr:txBody>
    </xdr:sp>
    <xdr:clientData/>
  </xdr:twoCellAnchor>
  <xdr:oneCellAnchor>
    <xdr:from>
      <xdr:col>6</xdr:col>
      <xdr:colOff>16667</xdr:colOff>
      <xdr:row>34</xdr:row>
      <xdr:rowOff>9313</xdr:rowOff>
    </xdr:from>
    <xdr:ext cx="1366158" cy="1133688"/>
    <xdr:pic>
      <xdr:nvPicPr>
        <xdr:cNvPr id="11" name="Image 10">
          <a:extLst>
            <a:ext uri="{FF2B5EF4-FFF2-40B4-BE49-F238E27FC236}">
              <a16:creationId xmlns="" xmlns:a16="http://schemas.microsoft.com/office/drawing/2014/main" id="{00000000-0008-0000-0800-00000B000000}"/>
            </a:ext>
          </a:extLst>
        </xdr:cNvPr>
        <xdr:cNvPicPr>
          <a:picLocks noChangeAspect="1"/>
        </xdr:cNvPicPr>
      </xdr:nvPicPr>
      <xdr:blipFill>
        <a:blip xmlns:r="http://schemas.openxmlformats.org/officeDocument/2006/relationships" r:embed="rId2" cstate="print"/>
        <a:stretch>
          <a:fillRect/>
        </a:stretch>
      </xdr:blipFill>
      <xdr:spPr>
        <a:xfrm>
          <a:off x="7677488" y="7983099"/>
          <a:ext cx="1366158" cy="1133688"/>
        </a:xfrm>
        <a:prstGeom prst="rect">
          <a:avLst/>
        </a:prstGeom>
      </xdr:spPr>
    </xdr:pic>
    <xdr:clientData/>
  </xdr:oneCellAnchor>
  <xdr:twoCellAnchor>
    <xdr:from>
      <xdr:col>5</xdr:col>
      <xdr:colOff>933794</xdr:colOff>
      <xdr:row>38</xdr:row>
      <xdr:rowOff>136071</xdr:rowOff>
    </xdr:from>
    <xdr:to>
      <xdr:col>5</xdr:col>
      <xdr:colOff>1219543</xdr:colOff>
      <xdr:row>39</xdr:row>
      <xdr:rowOff>183695</xdr:rowOff>
    </xdr:to>
    <xdr:sp macro="" textlink="">
      <xdr:nvSpPr>
        <xdr:cNvPr id="12" name="Rectangle 11">
          <a:extLst>
            <a:ext uri="{FF2B5EF4-FFF2-40B4-BE49-F238E27FC236}">
              <a16:creationId xmlns="" xmlns:a16="http://schemas.microsoft.com/office/drawing/2014/main" id="{00000000-0008-0000-0800-00000C000000}"/>
            </a:ext>
          </a:extLst>
        </xdr:cNvPr>
        <xdr:cNvSpPr/>
      </xdr:nvSpPr>
      <xdr:spPr>
        <a:xfrm>
          <a:off x="7369973" y="8926285"/>
          <a:ext cx="285749" cy="251731"/>
        </a:xfrm>
        <a:prstGeom prst="rect">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400" b="1">
              <a:solidFill>
                <a:schemeClr val="bg1"/>
              </a:solidFill>
            </a:rPr>
            <a:t>5</a:t>
          </a:r>
        </a:p>
      </xdr:txBody>
    </xdr:sp>
    <xdr:clientData/>
  </xdr:twoCellAnchor>
  <xdr:oneCellAnchor>
    <xdr:from>
      <xdr:col>6</xdr:col>
      <xdr:colOff>16667</xdr:colOff>
      <xdr:row>46</xdr:row>
      <xdr:rowOff>7612</xdr:rowOff>
    </xdr:from>
    <xdr:ext cx="1366158" cy="1133688"/>
    <xdr:pic>
      <xdr:nvPicPr>
        <xdr:cNvPr id="13" name="Image 12">
          <a:extLst>
            <a:ext uri="{FF2B5EF4-FFF2-40B4-BE49-F238E27FC236}">
              <a16:creationId xmlns="" xmlns:a16="http://schemas.microsoft.com/office/drawing/2014/main" id="{00000000-0008-0000-0800-00000D000000}"/>
            </a:ext>
          </a:extLst>
        </xdr:cNvPr>
        <xdr:cNvPicPr>
          <a:picLocks noChangeAspect="1"/>
        </xdr:cNvPicPr>
      </xdr:nvPicPr>
      <xdr:blipFill>
        <a:blip xmlns:r="http://schemas.openxmlformats.org/officeDocument/2006/relationships" r:embed="rId2" cstate="print"/>
        <a:stretch>
          <a:fillRect/>
        </a:stretch>
      </xdr:blipFill>
      <xdr:spPr>
        <a:xfrm>
          <a:off x="7677488" y="10430683"/>
          <a:ext cx="1366158" cy="1133688"/>
        </a:xfrm>
        <a:prstGeom prst="rect">
          <a:avLst/>
        </a:prstGeom>
      </xdr:spPr>
    </xdr:pic>
    <xdr:clientData/>
  </xdr:oneCellAnchor>
  <xdr:twoCellAnchor>
    <xdr:from>
      <xdr:col>5</xdr:col>
      <xdr:colOff>933794</xdr:colOff>
      <xdr:row>50</xdr:row>
      <xdr:rowOff>136071</xdr:rowOff>
    </xdr:from>
    <xdr:to>
      <xdr:col>5</xdr:col>
      <xdr:colOff>1219543</xdr:colOff>
      <xdr:row>51</xdr:row>
      <xdr:rowOff>183695</xdr:rowOff>
    </xdr:to>
    <xdr:sp macro="" textlink="">
      <xdr:nvSpPr>
        <xdr:cNvPr id="14" name="Rectangle 13">
          <a:extLst>
            <a:ext uri="{FF2B5EF4-FFF2-40B4-BE49-F238E27FC236}">
              <a16:creationId xmlns="" xmlns:a16="http://schemas.microsoft.com/office/drawing/2014/main" id="{00000000-0008-0000-0800-00000E000000}"/>
            </a:ext>
          </a:extLst>
        </xdr:cNvPr>
        <xdr:cNvSpPr/>
      </xdr:nvSpPr>
      <xdr:spPr>
        <a:xfrm>
          <a:off x="7369973" y="11375571"/>
          <a:ext cx="285749" cy="251731"/>
        </a:xfrm>
        <a:prstGeom prst="rect">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400" b="1">
              <a:solidFill>
                <a:schemeClr val="bg1"/>
              </a:solidFill>
            </a:rPr>
            <a:t>6</a:t>
          </a:r>
        </a:p>
      </xdr:txBody>
    </xdr:sp>
    <xdr:clientData/>
  </xdr:twoCellAnchor>
  <xdr:oneCellAnchor>
    <xdr:from>
      <xdr:col>12</xdr:col>
      <xdr:colOff>16667</xdr:colOff>
      <xdr:row>46</xdr:row>
      <xdr:rowOff>7612</xdr:rowOff>
    </xdr:from>
    <xdr:ext cx="1366158" cy="1133688"/>
    <xdr:pic>
      <xdr:nvPicPr>
        <xdr:cNvPr id="15" name="Image 14">
          <a:extLst>
            <a:ext uri="{FF2B5EF4-FFF2-40B4-BE49-F238E27FC236}">
              <a16:creationId xmlns="" xmlns:a16="http://schemas.microsoft.com/office/drawing/2014/main" id="{00000000-0008-0000-0800-00000F000000}"/>
            </a:ext>
          </a:extLst>
        </xdr:cNvPr>
        <xdr:cNvPicPr>
          <a:picLocks noChangeAspect="1"/>
        </xdr:cNvPicPr>
      </xdr:nvPicPr>
      <xdr:blipFill>
        <a:blip xmlns:r="http://schemas.openxmlformats.org/officeDocument/2006/relationships" r:embed="rId2" cstate="print"/>
        <a:stretch>
          <a:fillRect/>
        </a:stretch>
      </xdr:blipFill>
      <xdr:spPr>
        <a:xfrm>
          <a:off x="13283631" y="10430683"/>
          <a:ext cx="1366158" cy="1133688"/>
        </a:xfrm>
        <a:prstGeom prst="rect">
          <a:avLst/>
        </a:prstGeom>
      </xdr:spPr>
    </xdr:pic>
    <xdr:clientData/>
  </xdr:oneCellAnchor>
  <xdr:twoCellAnchor>
    <xdr:from>
      <xdr:col>11</xdr:col>
      <xdr:colOff>824937</xdr:colOff>
      <xdr:row>50</xdr:row>
      <xdr:rowOff>136071</xdr:rowOff>
    </xdr:from>
    <xdr:to>
      <xdr:col>11</xdr:col>
      <xdr:colOff>1220937</xdr:colOff>
      <xdr:row>51</xdr:row>
      <xdr:rowOff>183695</xdr:rowOff>
    </xdr:to>
    <xdr:sp macro="" textlink="">
      <xdr:nvSpPr>
        <xdr:cNvPr id="16" name="Rectangle 15">
          <a:extLst>
            <a:ext uri="{FF2B5EF4-FFF2-40B4-BE49-F238E27FC236}">
              <a16:creationId xmlns="" xmlns:a16="http://schemas.microsoft.com/office/drawing/2014/main" id="{00000000-0008-0000-0800-000010000000}"/>
            </a:ext>
          </a:extLst>
        </xdr:cNvPr>
        <xdr:cNvSpPr/>
      </xdr:nvSpPr>
      <xdr:spPr>
        <a:xfrm>
          <a:off x="12867258" y="11375571"/>
          <a:ext cx="396000" cy="251731"/>
        </a:xfrm>
        <a:prstGeom prst="rect">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400" b="1">
              <a:solidFill>
                <a:schemeClr val="bg1"/>
              </a:solidFill>
            </a:rPr>
            <a:t>10</a:t>
          </a:r>
        </a:p>
      </xdr:txBody>
    </xdr:sp>
    <xdr:clientData/>
  </xdr:twoCellAnchor>
  <xdr:oneCellAnchor>
    <xdr:from>
      <xdr:col>12</xdr:col>
      <xdr:colOff>16667</xdr:colOff>
      <xdr:row>34</xdr:row>
      <xdr:rowOff>9313</xdr:rowOff>
    </xdr:from>
    <xdr:ext cx="1366158" cy="1133688"/>
    <xdr:pic>
      <xdr:nvPicPr>
        <xdr:cNvPr id="17" name="Image 16">
          <a:extLst>
            <a:ext uri="{FF2B5EF4-FFF2-40B4-BE49-F238E27FC236}">
              <a16:creationId xmlns="" xmlns:a16="http://schemas.microsoft.com/office/drawing/2014/main" id="{00000000-0008-0000-0800-000011000000}"/>
            </a:ext>
          </a:extLst>
        </xdr:cNvPr>
        <xdr:cNvPicPr>
          <a:picLocks noChangeAspect="1"/>
        </xdr:cNvPicPr>
      </xdr:nvPicPr>
      <xdr:blipFill>
        <a:blip xmlns:r="http://schemas.openxmlformats.org/officeDocument/2006/relationships" r:embed="rId2" cstate="print"/>
        <a:stretch>
          <a:fillRect/>
        </a:stretch>
      </xdr:blipFill>
      <xdr:spPr>
        <a:xfrm>
          <a:off x="13283631" y="7983099"/>
          <a:ext cx="1366158" cy="1133688"/>
        </a:xfrm>
        <a:prstGeom prst="rect">
          <a:avLst/>
        </a:prstGeom>
      </xdr:spPr>
    </xdr:pic>
    <xdr:clientData/>
  </xdr:oneCellAnchor>
  <xdr:twoCellAnchor>
    <xdr:from>
      <xdr:col>11</xdr:col>
      <xdr:colOff>933794</xdr:colOff>
      <xdr:row>38</xdr:row>
      <xdr:rowOff>136071</xdr:rowOff>
    </xdr:from>
    <xdr:to>
      <xdr:col>11</xdr:col>
      <xdr:colOff>1219543</xdr:colOff>
      <xdr:row>39</xdr:row>
      <xdr:rowOff>183695</xdr:rowOff>
    </xdr:to>
    <xdr:sp macro="" textlink="">
      <xdr:nvSpPr>
        <xdr:cNvPr id="18" name="Rectangle 17">
          <a:extLst>
            <a:ext uri="{FF2B5EF4-FFF2-40B4-BE49-F238E27FC236}">
              <a16:creationId xmlns="" xmlns:a16="http://schemas.microsoft.com/office/drawing/2014/main" id="{00000000-0008-0000-0800-000012000000}"/>
            </a:ext>
          </a:extLst>
        </xdr:cNvPr>
        <xdr:cNvSpPr/>
      </xdr:nvSpPr>
      <xdr:spPr>
        <a:xfrm>
          <a:off x="12976115" y="8926285"/>
          <a:ext cx="285749" cy="251731"/>
        </a:xfrm>
        <a:prstGeom prst="rect">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400" b="1">
              <a:solidFill>
                <a:schemeClr val="bg1"/>
              </a:solidFill>
            </a:rPr>
            <a:t>9</a:t>
          </a:r>
        </a:p>
      </xdr:txBody>
    </xdr:sp>
    <xdr:clientData/>
  </xdr:twoCellAnchor>
  <xdr:oneCellAnchor>
    <xdr:from>
      <xdr:col>12</xdr:col>
      <xdr:colOff>16667</xdr:colOff>
      <xdr:row>9</xdr:row>
      <xdr:rowOff>9313</xdr:rowOff>
    </xdr:from>
    <xdr:ext cx="1366158" cy="1228937"/>
    <xdr:pic>
      <xdr:nvPicPr>
        <xdr:cNvPr id="19" name="Image 18">
          <a:extLst>
            <a:ext uri="{FF2B5EF4-FFF2-40B4-BE49-F238E27FC236}">
              <a16:creationId xmlns="" xmlns:a16="http://schemas.microsoft.com/office/drawing/2014/main" id="{00000000-0008-0000-0800-000013000000}"/>
            </a:ext>
          </a:extLst>
        </xdr:cNvPr>
        <xdr:cNvPicPr>
          <a:picLocks noChangeAspect="1"/>
        </xdr:cNvPicPr>
      </xdr:nvPicPr>
      <xdr:blipFill>
        <a:blip xmlns:r="http://schemas.openxmlformats.org/officeDocument/2006/relationships" r:embed="rId4" cstate="print"/>
        <a:stretch>
          <a:fillRect/>
        </a:stretch>
      </xdr:blipFill>
      <xdr:spPr>
        <a:xfrm>
          <a:off x="13283631" y="2880420"/>
          <a:ext cx="1366158" cy="1228937"/>
        </a:xfrm>
        <a:prstGeom prst="rect">
          <a:avLst/>
        </a:prstGeom>
      </xdr:spPr>
    </xdr:pic>
    <xdr:clientData/>
  </xdr:oneCellAnchor>
  <xdr:twoCellAnchor>
    <xdr:from>
      <xdr:col>11</xdr:col>
      <xdr:colOff>933794</xdr:colOff>
      <xdr:row>13</xdr:row>
      <xdr:rowOff>136071</xdr:rowOff>
    </xdr:from>
    <xdr:to>
      <xdr:col>11</xdr:col>
      <xdr:colOff>1219543</xdr:colOff>
      <xdr:row>14</xdr:row>
      <xdr:rowOff>183695</xdr:rowOff>
    </xdr:to>
    <xdr:sp macro="" textlink="">
      <xdr:nvSpPr>
        <xdr:cNvPr id="20" name="Rectangle 19">
          <a:extLst>
            <a:ext uri="{FF2B5EF4-FFF2-40B4-BE49-F238E27FC236}">
              <a16:creationId xmlns="" xmlns:a16="http://schemas.microsoft.com/office/drawing/2014/main" id="{00000000-0008-0000-0800-000014000000}"/>
            </a:ext>
          </a:extLst>
        </xdr:cNvPr>
        <xdr:cNvSpPr/>
      </xdr:nvSpPr>
      <xdr:spPr>
        <a:xfrm>
          <a:off x="12976115" y="3823607"/>
          <a:ext cx="285749" cy="251731"/>
        </a:xfrm>
        <a:prstGeom prst="rect">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400" b="1">
              <a:solidFill>
                <a:schemeClr val="bg1"/>
              </a:solidFill>
            </a:rPr>
            <a:t>7</a:t>
          </a:r>
        </a:p>
      </xdr:txBody>
    </xdr:sp>
    <xdr:clientData/>
  </xdr:twoCellAnchor>
  <xdr:oneCellAnchor>
    <xdr:from>
      <xdr:col>12</xdr:col>
      <xdr:colOff>16667</xdr:colOff>
      <xdr:row>21</xdr:row>
      <xdr:rowOff>9313</xdr:rowOff>
    </xdr:from>
    <xdr:ext cx="1366158" cy="1133688"/>
    <xdr:pic>
      <xdr:nvPicPr>
        <xdr:cNvPr id="21" name="Image 20">
          <a:extLst>
            <a:ext uri="{FF2B5EF4-FFF2-40B4-BE49-F238E27FC236}">
              <a16:creationId xmlns="" xmlns:a16="http://schemas.microsoft.com/office/drawing/2014/main" id="{00000000-0008-0000-0800-000015000000}"/>
            </a:ext>
          </a:extLst>
        </xdr:cNvPr>
        <xdr:cNvPicPr>
          <a:picLocks noChangeAspect="1"/>
        </xdr:cNvPicPr>
      </xdr:nvPicPr>
      <xdr:blipFill>
        <a:blip xmlns:r="http://schemas.openxmlformats.org/officeDocument/2006/relationships" r:embed="rId2" cstate="print"/>
        <a:stretch>
          <a:fillRect/>
        </a:stretch>
      </xdr:blipFill>
      <xdr:spPr>
        <a:xfrm>
          <a:off x="13283631" y="5329706"/>
          <a:ext cx="1366158" cy="1133688"/>
        </a:xfrm>
        <a:prstGeom prst="rect">
          <a:avLst/>
        </a:prstGeom>
      </xdr:spPr>
    </xdr:pic>
    <xdr:clientData/>
  </xdr:oneCellAnchor>
  <xdr:twoCellAnchor>
    <xdr:from>
      <xdr:col>11</xdr:col>
      <xdr:colOff>933794</xdr:colOff>
      <xdr:row>25</xdr:row>
      <xdr:rowOff>136071</xdr:rowOff>
    </xdr:from>
    <xdr:to>
      <xdr:col>11</xdr:col>
      <xdr:colOff>1219543</xdr:colOff>
      <xdr:row>26</xdr:row>
      <xdr:rowOff>183695</xdr:rowOff>
    </xdr:to>
    <xdr:sp macro="" textlink="">
      <xdr:nvSpPr>
        <xdr:cNvPr id="22" name="Rectangle 21">
          <a:extLst>
            <a:ext uri="{FF2B5EF4-FFF2-40B4-BE49-F238E27FC236}">
              <a16:creationId xmlns="" xmlns:a16="http://schemas.microsoft.com/office/drawing/2014/main" id="{00000000-0008-0000-0800-000016000000}"/>
            </a:ext>
          </a:extLst>
        </xdr:cNvPr>
        <xdr:cNvSpPr/>
      </xdr:nvSpPr>
      <xdr:spPr>
        <a:xfrm>
          <a:off x="12976115" y="6272892"/>
          <a:ext cx="285749" cy="251732"/>
        </a:xfrm>
        <a:prstGeom prst="rect">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400" b="1">
              <a:solidFill>
                <a:schemeClr val="bg1"/>
              </a:solidFill>
            </a:rPr>
            <a:t>8</a:t>
          </a:r>
        </a:p>
      </xdr:txBody>
    </xdr:sp>
    <xdr:clientData/>
  </xdr:twoCellAnchor>
  <xdr:oneCellAnchor>
    <xdr:from>
      <xdr:col>17</xdr:col>
      <xdr:colOff>16667</xdr:colOff>
      <xdr:row>9</xdr:row>
      <xdr:rowOff>9313</xdr:rowOff>
    </xdr:from>
    <xdr:ext cx="1366158" cy="1133688"/>
    <xdr:pic>
      <xdr:nvPicPr>
        <xdr:cNvPr id="23" name="Image 22">
          <a:extLst>
            <a:ext uri="{FF2B5EF4-FFF2-40B4-BE49-F238E27FC236}">
              <a16:creationId xmlns="" xmlns:a16="http://schemas.microsoft.com/office/drawing/2014/main" id="{00000000-0008-0000-0800-000017000000}"/>
            </a:ext>
          </a:extLst>
        </xdr:cNvPr>
        <xdr:cNvPicPr>
          <a:picLocks noChangeAspect="1"/>
        </xdr:cNvPicPr>
      </xdr:nvPicPr>
      <xdr:blipFill>
        <a:blip xmlns:r="http://schemas.openxmlformats.org/officeDocument/2006/relationships" r:embed="rId2" cstate="print"/>
        <a:stretch>
          <a:fillRect/>
        </a:stretch>
      </xdr:blipFill>
      <xdr:spPr>
        <a:xfrm>
          <a:off x="17978096" y="2880420"/>
          <a:ext cx="1366158" cy="1133688"/>
        </a:xfrm>
        <a:prstGeom prst="rect">
          <a:avLst/>
        </a:prstGeom>
      </xdr:spPr>
    </xdr:pic>
    <xdr:clientData/>
  </xdr:oneCellAnchor>
  <xdr:twoCellAnchor>
    <xdr:from>
      <xdr:col>16</xdr:col>
      <xdr:colOff>784115</xdr:colOff>
      <xdr:row>13</xdr:row>
      <xdr:rowOff>136071</xdr:rowOff>
    </xdr:from>
    <xdr:to>
      <xdr:col>17</xdr:col>
      <xdr:colOff>5365</xdr:colOff>
      <xdr:row>14</xdr:row>
      <xdr:rowOff>183695</xdr:rowOff>
    </xdr:to>
    <xdr:sp macro="" textlink="">
      <xdr:nvSpPr>
        <xdr:cNvPr id="24" name="Rectangle 23">
          <a:extLst>
            <a:ext uri="{FF2B5EF4-FFF2-40B4-BE49-F238E27FC236}">
              <a16:creationId xmlns="" xmlns:a16="http://schemas.microsoft.com/office/drawing/2014/main" id="{00000000-0008-0000-0800-000018000000}"/>
            </a:ext>
          </a:extLst>
        </xdr:cNvPr>
        <xdr:cNvSpPr/>
      </xdr:nvSpPr>
      <xdr:spPr>
        <a:xfrm>
          <a:off x="17561722" y="3823607"/>
          <a:ext cx="405072" cy="251731"/>
        </a:xfrm>
        <a:prstGeom prst="rect">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400" b="1">
              <a:solidFill>
                <a:schemeClr val="bg1"/>
              </a:solidFill>
            </a:rPr>
            <a:t>11</a:t>
          </a:r>
        </a:p>
      </xdr:txBody>
    </xdr:sp>
    <xdr:clientData/>
  </xdr:twoCellAnchor>
  <xdr:oneCellAnchor>
    <xdr:from>
      <xdr:col>17</xdr:col>
      <xdr:colOff>16667</xdr:colOff>
      <xdr:row>21</xdr:row>
      <xdr:rowOff>9313</xdr:rowOff>
    </xdr:from>
    <xdr:ext cx="1366158" cy="1133688"/>
    <xdr:pic>
      <xdr:nvPicPr>
        <xdr:cNvPr id="25" name="Image 24">
          <a:extLst>
            <a:ext uri="{FF2B5EF4-FFF2-40B4-BE49-F238E27FC236}">
              <a16:creationId xmlns="" xmlns:a16="http://schemas.microsoft.com/office/drawing/2014/main" id="{00000000-0008-0000-0800-000019000000}"/>
            </a:ext>
          </a:extLst>
        </xdr:cNvPr>
        <xdr:cNvPicPr>
          <a:picLocks noChangeAspect="1"/>
        </xdr:cNvPicPr>
      </xdr:nvPicPr>
      <xdr:blipFill>
        <a:blip xmlns:r="http://schemas.openxmlformats.org/officeDocument/2006/relationships" r:embed="rId2" cstate="print"/>
        <a:stretch>
          <a:fillRect/>
        </a:stretch>
      </xdr:blipFill>
      <xdr:spPr>
        <a:xfrm>
          <a:off x="17978096" y="5329706"/>
          <a:ext cx="1366158" cy="1133688"/>
        </a:xfrm>
        <a:prstGeom prst="rect">
          <a:avLst/>
        </a:prstGeom>
      </xdr:spPr>
    </xdr:pic>
    <xdr:clientData/>
  </xdr:oneCellAnchor>
  <xdr:twoCellAnchor>
    <xdr:from>
      <xdr:col>16</xdr:col>
      <xdr:colOff>784115</xdr:colOff>
      <xdr:row>25</xdr:row>
      <xdr:rowOff>136071</xdr:rowOff>
    </xdr:from>
    <xdr:to>
      <xdr:col>17</xdr:col>
      <xdr:colOff>5365</xdr:colOff>
      <xdr:row>26</xdr:row>
      <xdr:rowOff>183695</xdr:rowOff>
    </xdr:to>
    <xdr:sp macro="" textlink="">
      <xdr:nvSpPr>
        <xdr:cNvPr id="26" name="Rectangle 25">
          <a:extLst>
            <a:ext uri="{FF2B5EF4-FFF2-40B4-BE49-F238E27FC236}">
              <a16:creationId xmlns="" xmlns:a16="http://schemas.microsoft.com/office/drawing/2014/main" id="{00000000-0008-0000-0800-00001A000000}"/>
            </a:ext>
          </a:extLst>
        </xdr:cNvPr>
        <xdr:cNvSpPr/>
      </xdr:nvSpPr>
      <xdr:spPr>
        <a:xfrm>
          <a:off x="17561722" y="6272892"/>
          <a:ext cx="405072" cy="251732"/>
        </a:xfrm>
        <a:prstGeom prst="rect">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400" b="1">
              <a:solidFill>
                <a:schemeClr val="bg1"/>
              </a:solidFill>
            </a:rPr>
            <a:t>12</a:t>
          </a:r>
        </a:p>
      </xdr:txBody>
    </xdr:sp>
    <xdr:clientData/>
  </xdr:twoCellAnchor>
  <xdr:oneCellAnchor>
    <xdr:from>
      <xdr:col>17</xdr:col>
      <xdr:colOff>16667</xdr:colOff>
      <xdr:row>34</xdr:row>
      <xdr:rowOff>9313</xdr:rowOff>
    </xdr:from>
    <xdr:ext cx="1366158" cy="1133688"/>
    <xdr:pic>
      <xdr:nvPicPr>
        <xdr:cNvPr id="27" name="Image 26">
          <a:extLst>
            <a:ext uri="{FF2B5EF4-FFF2-40B4-BE49-F238E27FC236}">
              <a16:creationId xmlns="" xmlns:a16="http://schemas.microsoft.com/office/drawing/2014/main" id="{00000000-0008-0000-0800-00001B000000}"/>
            </a:ext>
          </a:extLst>
        </xdr:cNvPr>
        <xdr:cNvPicPr>
          <a:picLocks noChangeAspect="1"/>
        </xdr:cNvPicPr>
      </xdr:nvPicPr>
      <xdr:blipFill>
        <a:blip xmlns:r="http://schemas.openxmlformats.org/officeDocument/2006/relationships" r:embed="rId2" cstate="print"/>
        <a:stretch>
          <a:fillRect/>
        </a:stretch>
      </xdr:blipFill>
      <xdr:spPr>
        <a:xfrm>
          <a:off x="17978096" y="7983099"/>
          <a:ext cx="1366158" cy="1133688"/>
        </a:xfrm>
        <a:prstGeom prst="rect">
          <a:avLst/>
        </a:prstGeom>
      </xdr:spPr>
    </xdr:pic>
    <xdr:clientData/>
  </xdr:oneCellAnchor>
  <xdr:twoCellAnchor>
    <xdr:from>
      <xdr:col>16</xdr:col>
      <xdr:colOff>784115</xdr:colOff>
      <xdr:row>38</xdr:row>
      <xdr:rowOff>136071</xdr:rowOff>
    </xdr:from>
    <xdr:to>
      <xdr:col>17</xdr:col>
      <xdr:colOff>5365</xdr:colOff>
      <xdr:row>39</xdr:row>
      <xdr:rowOff>183695</xdr:rowOff>
    </xdr:to>
    <xdr:sp macro="" textlink="">
      <xdr:nvSpPr>
        <xdr:cNvPr id="28" name="Rectangle 27">
          <a:extLst>
            <a:ext uri="{FF2B5EF4-FFF2-40B4-BE49-F238E27FC236}">
              <a16:creationId xmlns="" xmlns:a16="http://schemas.microsoft.com/office/drawing/2014/main" id="{00000000-0008-0000-0800-00001C000000}"/>
            </a:ext>
          </a:extLst>
        </xdr:cNvPr>
        <xdr:cNvSpPr/>
      </xdr:nvSpPr>
      <xdr:spPr>
        <a:xfrm>
          <a:off x="17561722" y="8926285"/>
          <a:ext cx="405072" cy="251731"/>
        </a:xfrm>
        <a:prstGeom prst="rect">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400" b="1">
              <a:solidFill>
                <a:schemeClr val="bg1"/>
              </a:solidFill>
            </a:rPr>
            <a:t>13</a:t>
          </a:r>
        </a:p>
      </xdr:txBody>
    </xdr:sp>
    <xdr:clientData/>
  </xdr:twoCellAnchor>
  <xdr:oneCellAnchor>
    <xdr:from>
      <xdr:col>17</xdr:col>
      <xdr:colOff>16667</xdr:colOff>
      <xdr:row>46</xdr:row>
      <xdr:rowOff>21219</xdr:rowOff>
    </xdr:from>
    <xdr:ext cx="1366158" cy="1133688"/>
    <xdr:pic>
      <xdr:nvPicPr>
        <xdr:cNvPr id="29" name="Image 28">
          <a:extLst>
            <a:ext uri="{FF2B5EF4-FFF2-40B4-BE49-F238E27FC236}">
              <a16:creationId xmlns="" xmlns:a16="http://schemas.microsoft.com/office/drawing/2014/main" id="{00000000-0008-0000-0800-00001D000000}"/>
            </a:ext>
          </a:extLst>
        </xdr:cNvPr>
        <xdr:cNvPicPr>
          <a:picLocks noChangeAspect="1"/>
        </xdr:cNvPicPr>
      </xdr:nvPicPr>
      <xdr:blipFill>
        <a:blip xmlns:r="http://schemas.openxmlformats.org/officeDocument/2006/relationships" r:embed="rId2" cstate="print"/>
        <a:stretch>
          <a:fillRect/>
        </a:stretch>
      </xdr:blipFill>
      <xdr:spPr>
        <a:xfrm>
          <a:off x="17978096" y="10444290"/>
          <a:ext cx="1366158" cy="1133688"/>
        </a:xfrm>
        <a:prstGeom prst="rect">
          <a:avLst/>
        </a:prstGeom>
      </xdr:spPr>
    </xdr:pic>
    <xdr:clientData/>
  </xdr:oneCellAnchor>
  <xdr:twoCellAnchor>
    <xdr:from>
      <xdr:col>16</xdr:col>
      <xdr:colOff>784115</xdr:colOff>
      <xdr:row>50</xdr:row>
      <xdr:rowOff>136071</xdr:rowOff>
    </xdr:from>
    <xdr:to>
      <xdr:col>17</xdr:col>
      <xdr:colOff>5365</xdr:colOff>
      <xdr:row>51</xdr:row>
      <xdr:rowOff>183695</xdr:rowOff>
    </xdr:to>
    <xdr:sp macro="" textlink="">
      <xdr:nvSpPr>
        <xdr:cNvPr id="30" name="Rectangle 29">
          <a:extLst>
            <a:ext uri="{FF2B5EF4-FFF2-40B4-BE49-F238E27FC236}">
              <a16:creationId xmlns="" xmlns:a16="http://schemas.microsoft.com/office/drawing/2014/main" id="{00000000-0008-0000-0800-00001E000000}"/>
            </a:ext>
          </a:extLst>
        </xdr:cNvPr>
        <xdr:cNvSpPr/>
      </xdr:nvSpPr>
      <xdr:spPr>
        <a:xfrm>
          <a:off x="17561722" y="11375571"/>
          <a:ext cx="405072" cy="251731"/>
        </a:xfrm>
        <a:prstGeom prst="rect">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400" b="1">
              <a:solidFill>
                <a:schemeClr val="bg1"/>
              </a:solidFill>
            </a:rPr>
            <a:t>14</a:t>
          </a:r>
        </a:p>
      </xdr:txBody>
    </xdr:sp>
    <xdr:clientData/>
  </xdr:twoCellAnchor>
  <xdr:twoCellAnchor editAs="oneCell">
    <xdr:from>
      <xdr:col>0</xdr:col>
      <xdr:colOff>1235982</xdr:colOff>
      <xdr:row>0</xdr:row>
      <xdr:rowOff>0</xdr:rowOff>
    </xdr:from>
    <xdr:to>
      <xdr:col>2</xdr:col>
      <xdr:colOff>476250</xdr:colOff>
      <xdr:row>4</xdr:row>
      <xdr:rowOff>207214</xdr:rowOff>
    </xdr:to>
    <xdr:pic>
      <xdr:nvPicPr>
        <xdr:cNvPr id="31" name="Image 30" descr="Image associée">
          <a:extLst>
            <a:ext uri="{FF2B5EF4-FFF2-40B4-BE49-F238E27FC236}">
              <a16:creationId xmlns="" xmlns:a16="http://schemas.microsoft.com/office/drawing/2014/main" id="{00000000-0008-0000-0800-00001F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 xmlns:a14="http://schemas.microsoft.com/office/drawing/2010/main" val="0"/>
            </a:ext>
          </a:extLst>
        </a:blip>
        <a:srcRect/>
        <a:stretch>
          <a:fillRect/>
        </a:stretch>
      </xdr:blipFill>
      <xdr:spPr bwMode="auto">
        <a:xfrm>
          <a:off x="1235982" y="0"/>
          <a:ext cx="2050143" cy="91478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oneCellAnchor>
    <xdr:from>
      <xdr:col>6</xdr:col>
      <xdr:colOff>16667</xdr:colOff>
      <xdr:row>61</xdr:row>
      <xdr:rowOff>7612</xdr:rowOff>
    </xdr:from>
    <xdr:ext cx="1366158" cy="1133688"/>
    <xdr:pic>
      <xdr:nvPicPr>
        <xdr:cNvPr id="32" name="Image 31">
          <a:extLst>
            <a:ext uri="{FF2B5EF4-FFF2-40B4-BE49-F238E27FC236}">
              <a16:creationId xmlns="" xmlns:a16="http://schemas.microsoft.com/office/drawing/2014/main" id="{00000000-0008-0000-0800-000020000000}"/>
            </a:ext>
          </a:extLst>
        </xdr:cNvPr>
        <xdr:cNvPicPr>
          <a:picLocks noChangeAspect="1"/>
        </xdr:cNvPicPr>
      </xdr:nvPicPr>
      <xdr:blipFill>
        <a:blip xmlns:r="http://schemas.openxmlformats.org/officeDocument/2006/relationships" r:embed="rId2" cstate="print"/>
        <a:stretch>
          <a:fillRect/>
        </a:stretch>
      </xdr:blipFill>
      <xdr:spPr>
        <a:xfrm>
          <a:off x="7677488" y="13492291"/>
          <a:ext cx="1366158" cy="1133688"/>
        </a:xfrm>
        <a:prstGeom prst="rect">
          <a:avLst/>
        </a:prstGeom>
      </xdr:spPr>
    </xdr:pic>
    <xdr:clientData/>
  </xdr:oneCellAnchor>
  <xdr:twoCellAnchor>
    <xdr:from>
      <xdr:col>5</xdr:col>
      <xdr:colOff>843644</xdr:colOff>
      <xdr:row>65</xdr:row>
      <xdr:rowOff>163285</xdr:rowOff>
    </xdr:from>
    <xdr:to>
      <xdr:col>5</xdr:col>
      <xdr:colOff>1219544</xdr:colOff>
      <xdr:row>66</xdr:row>
      <xdr:rowOff>183694</xdr:rowOff>
    </xdr:to>
    <xdr:sp macro="" textlink="">
      <xdr:nvSpPr>
        <xdr:cNvPr id="33" name="Rectangle 32">
          <a:extLst>
            <a:ext uri="{FF2B5EF4-FFF2-40B4-BE49-F238E27FC236}">
              <a16:creationId xmlns="" xmlns:a16="http://schemas.microsoft.com/office/drawing/2014/main" id="{00000000-0008-0000-0800-000021000000}"/>
            </a:ext>
          </a:extLst>
        </xdr:cNvPr>
        <xdr:cNvSpPr/>
      </xdr:nvSpPr>
      <xdr:spPr>
        <a:xfrm>
          <a:off x="7279823" y="14464392"/>
          <a:ext cx="375900" cy="224516"/>
        </a:xfrm>
        <a:prstGeom prst="rect">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400" b="1">
              <a:solidFill>
                <a:schemeClr val="bg1"/>
              </a:solidFill>
            </a:rPr>
            <a:t>S1</a:t>
          </a:r>
        </a:p>
      </xdr:txBody>
    </xdr:sp>
    <xdr:clientData/>
  </xdr:twoCellAnchor>
  <xdr:oneCellAnchor>
    <xdr:from>
      <xdr:col>12</xdr:col>
      <xdr:colOff>16667</xdr:colOff>
      <xdr:row>61</xdr:row>
      <xdr:rowOff>7612</xdr:rowOff>
    </xdr:from>
    <xdr:ext cx="1366158" cy="1133688"/>
    <xdr:pic>
      <xdr:nvPicPr>
        <xdr:cNvPr id="34" name="Image 33">
          <a:extLst>
            <a:ext uri="{FF2B5EF4-FFF2-40B4-BE49-F238E27FC236}">
              <a16:creationId xmlns="" xmlns:a16="http://schemas.microsoft.com/office/drawing/2014/main" id="{00000000-0008-0000-0800-000022000000}"/>
            </a:ext>
          </a:extLst>
        </xdr:cNvPr>
        <xdr:cNvPicPr>
          <a:picLocks noChangeAspect="1"/>
        </xdr:cNvPicPr>
      </xdr:nvPicPr>
      <xdr:blipFill>
        <a:blip xmlns:r="http://schemas.openxmlformats.org/officeDocument/2006/relationships" r:embed="rId2" cstate="print"/>
        <a:stretch>
          <a:fillRect/>
        </a:stretch>
      </xdr:blipFill>
      <xdr:spPr>
        <a:xfrm>
          <a:off x="13283631" y="13492291"/>
          <a:ext cx="1366158" cy="1133688"/>
        </a:xfrm>
        <a:prstGeom prst="rect">
          <a:avLst/>
        </a:prstGeom>
      </xdr:spPr>
    </xdr:pic>
    <xdr:clientData/>
  </xdr:oneCellAnchor>
  <xdr:twoCellAnchor>
    <xdr:from>
      <xdr:col>11</xdr:col>
      <xdr:colOff>830036</xdr:colOff>
      <xdr:row>65</xdr:row>
      <xdr:rowOff>136071</xdr:rowOff>
    </xdr:from>
    <xdr:to>
      <xdr:col>11</xdr:col>
      <xdr:colOff>1219543</xdr:colOff>
      <xdr:row>66</xdr:row>
      <xdr:rowOff>176893</xdr:rowOff>
    </xdr:to>
    <xdr:sp macro="" textlink="">
      <xdr:nvSpPr>
        <xdr:cNvPr id="35" name="Rectangle 34">
          <a:extLst>
            <a:ext uri="{FF2B5EF4-FFF2-40B4-BE49-F238E27FC236}">
              <a16:creationId xmlns="" xmlns:a16="http://schemas.microsoft.com/office/drawing/2014/main" id="{00000000-0008-0000-0800-000023000000}"/>
            </a:ext>
          </a:extLst>
        </xdr:cNvPr>
        <xdr:cNvSpPr/>
      </xdr:nvSpPr>
      <xdr:spPr>
        <a:xfrm>
          <a:off x="12872357" y="14437178"/>
          <a:ext cx="389507" cy="244929"/>
        </a:xfrm>
        <a:prstGeom prst="rect">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400" b="1">
              <a:solidFill>
                <a:schemeClr val="bg1"/>
              </a:solidFill>
            </a:rPr>
            <a:t>S2</a:t>
          </a:r>
        </a:p>
      </xdr:txBody>
    </xdr:sp>
    <xdr:clientData/>
  </xdr:twoCellAnchor>
  <xdr:oneCellAnchor>
    <xdr:from>
      <xdr:col>2</xdr:col>
      <xdr:colOff>353785</xdr:colOff>
      <xdr:row>6</xdr:row>
      <xdr:rowOff>190500</xdr:rowOff>
    </xdr:from>
    <xdr:ext cx="184731" cy="264560"/>
    <xdr:sp macro="" textlink="">
      <xdr:nvSpPr>
        <xdr:cNvPr id="2" name="ZoneTexte 1">
          <a:extLst>
            <a:ext uri="{FF2B5EF4-FFF2-40B4-BE49-F238E27FC236}">
              <a16:creationId xmlns="" xmlns:a16="http://schemas.microsoft.com/office/drawing/2014/main" id="{00000000-0008-0000-0800-000002000000}"/>
            </a:ext>
          </a:extLst>
        </xdr:cNvPr>
        <xdr:cNvSpPr txBox="1"/>
      </xdr:nvSpPr>
      <xdr:spPr>
        <a:xfrm>
          <a:off x="3170464" y="1905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679636</xdr:colOff>
      <xdr:row>0</xdr:row>
      <xdr:rowOff>0</xdr:rowOff>
    </xdr:from>
    <xdr:to>
      <xdr:col>1</xdr:col>
      <xdr:colOff>992330</xdr:colOff>
      <xdr:row>3</xdr:row>
      <xdr:rowOff>173131</xdr:rowOff>
    </xdr:to>
    <xdr:pic>
      <xdr:nvPicPr>
        <xdr:cNvPr id="2" name="Image 1" descr="Image associée">
          <a:extLst>
            <a:ext uri="{FF2B5EF4-FFF2-40B4-BE49-F238E27FC236}">
              <a16:creationId xmlns="" xmlns:a16="http://schemas.microsoft.com/office/drawing/2014/main" id="{A291E8AE-B7F8-42D7-9C97-89D23B7849C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 xmlns:a14="http://schemas.microsoft.com/office/drawing/2010/main" val="0"/>
            </a:ext>
          </a:extLst>
        </a:blip>
        <a:srcRect/>
        <a:stretch>
          <a:fillRect/>
        </a:stretch>
      </xdr:blipFill>
      <xdr:spPr bwMode="auto">
        <a:xfrm>
          <a:off x="679636" y="0"/>
          <a:ext cx="1350919" cy="763681"/>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762000</xdr:colOff>
      <xdr:row>3</xdr:row>
      <xdr:rowOff>166687</xdr:rowOff>
    </xdr:to>
    <xdr:pic>
      <xdr:nvPicPr>
        <xdr:cNvPr id="3" name="Graphique 2" descr="Retour">
          <a:hlinkClick xmlns:r="http://schemas.openxmlformats.org/officeDocument/2006/relationships" r:id="rId2"/>
          <a:extLst>
            <a:ext uri="{FF2B5EF4-FFF2-40B4-BE49-F238E27FC236}">
              <a16:creationId xmlns="" xmlns:a16="http://schemas.microsoft.com/office/drawing/2014/main" id="{AED7A993-2E0A-4839-9979-FF2582ECC45B}"/>
            </a:ext>
          </a:extLst>
        </xdr:cNvPr>
        <xdr:cNvPicPr>
          <a:picLocks noChangeAspect="1"/>
        </xdr:cNvPicPr>
      </xdr:nvPicPr>
      <xdr:blipFill>
        <a:blip xmlns:r="http://schemas.openxmlformats.org/officeDocument/2006/relationships" r:embed="rId3" cstate="print">
          <a:extLst>
            <a:ext uri="{28A0092B-C50C-407E-A947-70E740481C1C}">
              <a14:useLocalDpi xmlns="" xmlns:a14="http://schemas.microsoft.com/office/drawing/2010/main" val="0"/>
            </a:ext>
            <a:ext uri="{96DAC541-7B7A-43D3-8B79-37D633B846F1}">
              <asvg:svgBlip xmlns="" xmlns:asvg="http://schemas.microsoft.com/office/drawing/2016/SVG/main" r:embed="rId4"/>
            </a:ext>
          </a:extLst>
        </a:blip>
        <a:stretch>
          <a:fillRect/>
        </a:stretch>
      </xdr:blipFill>
      <xdr:spPr>
        <a:xfrm>
          <a:off x="0" y="0"/>
          <a:ext cx="762000" cy="762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m%20parc%20aut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y.lasry/Downloads/12052020%20Suivi%20des%20interventions%20PARC%20AUTO%20(xx1)2.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Feuil2"/>
      <sheetName val="Menu"/>
      <sheetName val="Code Véhicule"/>
      <sheetName val="BDD interv"/>
      <sheetName val="KPI PARC AUTO"/>
      <sheetName val="En cours"/>
      <sheetName val="Hist engins"/>
      <sheetName val="bdd pneu"/>
      <sheetName val="Suivi des pneus"/>
      <sheetName val="Suivi des vidanges"/>
      <sheetName val="TYP INTERV"/>
      <sheetName val="gm parc auto"/>
    </sheetNames>
    <sheetDataSet>
      <sheetData sheetId="0"/>
      <sheetData sheetId="1"/>
      <sheetData sheetId="2">
        <row r="4">
          <cell r="A4">
            <v>7</v>
          </cell>
        </row>
      </sheetData>
      <sheetData sheetId="3"/>
      <sheetData sheetId="4"/>
      <sheetData sheetId="5"/>
      <sheetData sheetId="6"/>
      <sheetData sheetId="7"/>
      <sheetData sheetId="8"/>
      <sheetData sheetId="9"/>
      <sheetData sheetId="10"/>
      <sheetData sheetId="1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Feuil2"/>
      <sheetName val="partie mchn"/>
      <sheetName val="cod mchn"/>
      <sheetName val="chariot elevateur"/>
      <sheetName val="SOLO"/>
      <sheetName val="SR"/>
      <sheetName val="CHARIOTS"/>
      <sheetName val="bdd interv"/>
      <sheetName val="En cours"/>
      <sheetName val="Nbr interv"/>
      <sheetName val="Jrs arret"/>
      <sheetName val="typ inter"/>
      <sheetName val="Hist mchn"/>
      <sheetName val="bdd mchn"/>
      <sheetName val="TYP INTERV"/>
      <sheetName val="12052020 Suivi des intervention"/>
    </sheetNames>
    <sheetDataSet>
      <sheetData sheetId="0"/>
      <sheetData sheetId="1"/>
      <sheetData sheetId="2">
        <row r="4">
          <cell r="A4">
            <v>7</v>
          </cell>
        </row>
      </sheetData>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m.maslouhi" refreshedDate="45632.507913425929" createdVersion="7" refreshedVersion="3" minRefreshableVersion="3" recordCount="1406">
  <cacheSource type="worksheet">
    <worksheetSource name="Tableau13"/>
  </cacheSource>
  <cacheFields count="18">
    <cacheField name="Date début" numFmtId="14">
      <sharedItems containsDate="1" containsMixedTypes="1" minDate="2002-07-13T00:00:00" maxDate="2024-08-14T00:00:00"/>
    </cacheField>
    <cacheField name="Code" numFmtId="0">
      <sharedItems containsBlank="1" containsMixedTypes="1" containsNumber="1" containsInteger="1" minValue="7" maxValue="486" count="47">
        <n v="417"/>
        <n v="401"/>
        <n v="434"/>
        <n v="481"/>
        <n v="480"/>
        <n v="406"/>
        <n v="482"/>
        <n v="435"/>
        <n v="410"/>
        <n v="479"/>
        <n v="411"/>
        <n v="439"/>
        <n v="438"/>
        <n v="408"/>
        <n v="414"/>
        <n v="429"/>
        <n v="436"/>
        <n v="471"/>
        <n v="409"/>
        <n v="413"/>
        <n v="403"/>
        <n v="428"/>
        <n v="426"/>
        <n v="407"/>
        <n v="433"/>
        <n v="405"/>
        <n v="431"/>
        <n v="432"/>
        <n v="427"/>
        <n v="430"/>
        <m/>
        <n v="7"/>
        <n v="477"/>
        <n v="472"/>
        <n v="422"/>
        <n v="421"/>
        <n v="470"/>
        <n v="445"/>
        <n v="419"/>
        <s v="413B"/>
        <s v="dacia"/>
        <s v="arm"/>
        <n v="420"/>
        <n v="483"/>
        <n v="484"/>
        <n v="485"/>
        <n v="486"/>
      </sharedItems>
    </cacheField>
    <cacheField name="Type" numFmtId="0">
      <sharedItems containsBlank="1" containsMixedTypes="1" containsNumber="1" containsInteger="1" minValue="171" maxValue="171" count="21">
        <s v="Voiture de fonction"/>
        <s v="Camion"/>
        <s v="Chariot elevateur"/>
        <s v="Semi remorque"/>
        <s v="Pick up"/>
        <s v="Bus de transport"/>
        <s v="Balayeuse"/>
        <s v="Chargeur"/>
        <s v="station lavage"/>
        <s v=""/>
        <s v="atelier "/>
        <m/>
        <s v="dacia khalil"/>
        <e v="#REF!"/>
        <s v="25/9/"/>
        <n v="171"/>
        <s v="linde siege "/>
        <s v="bus de trans siege "/>
        <s v="linde sinastone"/>
        <s v="MANITOU"/>
        <s v="dacia khalil "/>
      </sharedItems>
    </cacheField>
    <cacheField name="Véhicule" numFmtId="0">
      <sharedItems containsBlank="1" containsMixedTypes="1" containsNumber="1" containsInteger="1" minValue="4" maxValue="4" count="30">
        <s v="Berlingo"/>
        <s v="ISUZU"/>
        <s v="Linde H30D"/>
        <s v="VOLVO"/>
        <s v="HYUNDAI H100"/>
        <s v="Mitsubishi"/>
        <s v="MAN"/>
        <s v="Hyundai County"/>
        <s v="Renault"/>
        <s v="Bobcat"/>
        <s v="Fenwick HD30"/>
        <s v="Hyundai County "/>
        <s v="Caterpillar"/>
        <s v="Linde H30"/>
        <s v="Manitou MC 30"/>
        <s v="Manitou M26-2"/>
        <s v="Fenwick  H40"/>
        <s v="dacia khalil"/>
        <s v="Linde H25d"/>
        <s v="Fenwick LINDE 25"/>
        <m/>
        <s v="linde siege"/>
        <n v="4"/>
        <s v=" "/>
        <s v=""/>
        <s v="kangoo"/>
        <e v="#REF!"/>
        <s v="linde"/>
        <s v="linde h 45"/>
        <s v="MI50D"/>
      </sharedItems>
    </cacheField>
    <cacheField name="Matricule" numFmtId="0">
      <sharedItems containsBlank="1" containsMixedTypes="1" containsNumber="1" containsInteger="1" minValue="0" maxValue="0" count="30">
        <s v="981-A-73"/>
        <s v="26128-A-8"/>
        <s v="-"/>
        <s v="22300-A-73"/>
        <s v="22299-A-73"/>
        <s v="70352-A-6"/>
        <s v="22368-A-73"/>
        <s v=" 11469-A-73"/>
        <s v="28659-D-1 "/>
        <s v="22772-A-73"/>
        <s v="25636-A-13"/>
        <s v="17886-A-73 "/>
        <s v="17885-A-73 "/>
        <s v="4703-A-73"/>
        <s v="11470-A-73"/>
        <s v="18516-A-73"/>
        <s v="4969-A-73 "/>
        <s v="4790-B-8"/>
        <s v="706-A-73"/>
        <s v="10551-A-73"/>
        <s v=" 22128-W-6"/>
        <s v=" 9660 -A-73"/>
        <s v="42174A6"/>
        <s v="50313-A-6"/>
        <s v=" "/>
        <s v="4812-A-73"/>
        <e v="#REF!"/>
        <s v="28661-D-1"/>
        <n v="0"/>
        <m/>
      </sharedItems>
    </cacheField>
    <cacheField name="N Fiche _x000a_d'intervention" numFmtId="0">
      <sharedItems containsBlank="1" containsMixedTypes="1" containsNumber="1" containsInteger="1" minValue="22180" maxValue="256331" longText="1"/>
    </cacheField>
    <cacheField name="Partie véhicule" numFmtId="0">
      <sharedItems containsBlank="1"/>
    </cacheField>
    <cacheField name="Réclamation / problème" numFmtId="0">
      <sharedItems containsBlank="1"/>
    </cacheField>
    <cacheField name="Type d'intervention" numFmtId="0">
      <sharedItems containsBlank="1" count="9">
        <s v="c"/>
        <s v="P"/>
        <m/>
        <s v="C "/>
        <s v="P "/>
        <s v=" "/>
        <s v="vp"/>
        <s v="C / P"/>
        <s v="C/P"/>
      </sharedItems>
    </cacheField>
    <cacheField name="Détail Intervention" numFmtId="0">
      <sharedItems containsBlank="1" longText="1"/>
    </cacheField>
    <cacheField name="N BS" numFmtId="0">
      <sharedItems containsBlank="1" containsMixedTypes="1" containsNumber="1" containsInteger="1" minValue="17" maxValue="1699511"/>
    </cacheField>
    <cacheField name="Temps_x000a_d'intervention (min)" numFmtId="166">
      <sharedItems containsBlank="1" containsMixedTypes="1" containsNumber="1" containsInteger="1" minValue="2" maxValue="57000"/>
    </cacheField>
    <cacheField name="Temps _x000a_d'arrêt _x000a_(min)" numFmtId="0">
      <sharedItems containsBlank="1" containsMixedTypes="1" containsNumber="1" containsInteger="1" minValue="0" maxValue="125791"/>
    </cacheField>
    <cacheField name="Date fin d'intervention" numFmtId="0">
      <sharedItems containsDate="1" containsBlank="1" containsMixedTypes="1" minDate="2019-11-01T00:00:00" maxDate="2026-06-06T00:00:00" count="801">
        <d v="2021-07-13T00:00:00"/>
        <d v="2019-11-01T00:00:00"/>
        <d v="2019-11-04T00:00:00"/>
        <d v="2019-11-06T00:00:00"/>
        <d v="2019-11-07T00:00:00"/>
        <d v="2019-11-12T00:00:00"/>
        <d v="2019-11-13T00:00:00"/>
        <d v="2019-11-14T00:00:00"/>
        <d v="2019-11-15T00:00:00"/>
        <d v="2019-11-16T00:00:00"/>
        <d v="2019-11-19T00:00:00"/>
        <d v="2019-11-20T00:00:00"/>
        <d v="2019-11-21T00:00:00"/>
        <d v="2019-11-22T00:00:00"/>
        <d v="2019-11-24T00:00:00"/>
        <d v="2019-11-25T00:00:00"/>
        <d v="2019-11-26T00:00:00"/>
        <d v="2019-11-28T00:00:00"/>
        <d v="2019-11-30T00:00:00"/>
        <d v="2019-12-02T00:00:00"/>
        <d v="2019-12-03T00:00:00"/>
        <d v="2019-12-04T00:00:00"/>
        <d v="2019-12-05T00:00:00"/>
        <d v="2020-01-06T00:00:00"/>
        <d v="2019-12-06T00:00:00"/>
        <d v="2019-12-07T00:00:00"/>
        <d v="2019-12-09T00:00:00"/>
        <d v="2019-12-10T00:00:00"/>
        <d v="2019-12-11T00:00:00"/>
        <d v="2019-12-12T00:00:00"/>
        <d v="2019-12-13T00:00:00"/>
        <d v="2019-12-15T00:00:00"/>
        <d v="2019-12-16T00:00:00"/>
        <d v="2019-12-18T00:00:00"/>
        <d v="2020-02-22T00:00:00"/>
        <d v="2019-12-19T00:00:00"/>
        <d v="2019-12-23T00:00:00"/>
        <d v="2019-12-24T00:00:00"/>
        <d v="2019-12-25T00:00:00"/>
        <d v="2019-12-27T00:00:00"/>
        <d v="2019-12-30T00:00:00"/>
        <d v="2020-01-09T00:00:00"/>
        <d v="2020-01-02T00:00:00"/>
        <d v="2020-01-04T00:00:00"/>
        <d v="2020-01-07T00:00:00"/>
        <d v="2020-01-08T00:00:00"/>
        <d v="2020-01-10T00:00:00"/>
        <d v="2020-01-11T00:00:00"/>
        <d v="2020-01-21T00:00:00"/>
        <d v="2020-01-13T00:00:00"/>
        <d v="2020-01-17T00:00:00"/>
        <d v="2020-01-16T00:00:00"/>
        <d v="2020-01-30T00:00:00"/>
        <d v="2020-01-18T00:00:00"/>
        <d v="2020-01-20T00:00:00"/>
        <d v="2020-01-25T00:00:00"/>
        <d v="2020-01-22T00:00:00"/>
        <m/>
        <d v="2020-01-24T00:00:00"/>
        <d v="2020-01-27T00:00:00"/>
        <d v="2020-01-28T00:00:00"/>
        <d v="2020-01-29T00:00:00"/>
        <d v="2020-02-16T00:00:00"/>
        <d v="2020-01-31T00:00:00"/>
        <d v="2020-02-01T00:00:00"/>
        <d v="2020-02-03T00:00:00"/>
        <d v="2020-02-25T00:00:00"/>
        <d v="2020-02-02T00:00:00"/>
        <d v="2020-02-06T00:00:00"/>
        <d v="2020-02-05T00:00:00"/>
        <d v="2020-02-07T00:00:00"/>
        <d v="2020-02-08T00:00:00"/>
        <d v="2020-02-19T00:00:00"/>
        <d v="2020-02-09T00:00:00"/>
        <d v="2020-02-12T00:00:00"/>
        <d v="2020-02-14T00:00:00"/>
        <d v="2020-02-15T00:00:00"/>
        <d v="2020-02-18T00:00:00"/>
        <d v="2020-11-19T00:00:00"/>
        <d v="2020-03-09T00:00:00"/>
        <d v="2020-02-24T00:00:00"/>
        <d v="2020-02-26T00:00:00"/>
        <d v="2020-02-27T00:00:00"/>
        <d v="2020-03-03T00:00:00"/>
        <d v="2020-03-04T00:00:00"/>
        <d v="2020-03-06T00:00:00"/>
        <d v="2020-03-10T00:00:00"/>
        <d v="2020-03-13T00:00:00"/>
        <d v="2020-03-15T00:00:00"/>
        <d v="2020-03-20T00:00:00"/>
        <d v="2020-03-18T00:00:00"/>
        <d v="2020-03-19T00:00:00"/>
        <d v="2020-03-21T00:00:00"/>
        <d v="2020-03-23T00:00:00"/>
        <d v="2020-03-24T00:00:00"/>
        <d v="2020-04-10T00:00:00"/>
        <d v="2020-04-14T00:00:00"/>
        <d v="2020-04-16T00:00:00"/>
        <d v="2020-04-15T00:00:00"/>
        <d v="2020-04-17T00:00:00"/>
        <d v="2020-04-20T00:00:00"/>
        <d v="2020-04-22T00:00:00"/>
        <d v="2020-04-24T00:00:00"/>
        <d v="2020-04-25T00:00:00"/>
        <d v="2020-04-29T00:00:00"/>
        <d v="2020-04-30T00:00:00"/>
        <d v="2020-05-02T00:00:00"/>
        <d v="2020-05-04T00:00:00"/>
        <d v="2020-05-05T00:00:00"/>
        <d v="2020-05-07T00:00:00"/>
        <d v="2020-05-09T00:00:00"/>
        <d v="2020-05-12T00:00:00"/>
        <d v="2020-05-14T00:00:00"/>
        <d v="2020-05-15T00:00:00"/>
        <d v="2020-05-20T00:00:00"/>
        <d v="2020-06-01T00:00:00"/>
        <d v="2020-06-02T00:00:00"/>
        <d v="2020-07-02T00:00:00"/>
        <d v="2020-06-04T00:00:00"/>
        <d v="2020-06-05T00:00:00"/>
        <d v="2020-06-08T00:00:00"/>
        <d v="2020-06-13T00:00:00"/>
        <d v="2020-06-16T00:00:00"/>
        <d v="2020-06-15T00:00:00"/>
        <d v="2020-06-20T00:00:00"/>
        <d v="2020-06-19T00:00:00"/>
        <d v="2020-06-22T00:00:00"/>
        <d v="2020-06-23T00:00:00"/>
        <d v="2020-06-24T00:00:00"/>
        <d v="2020-06-25T00:00:00"/>
        <d v="2020-06-26T00:00:00"/>
        <d v="2020-06-28T00:00:00"/>
        <d v="2020-07-04T00:00:00"/>
        <d v="2020-07-03T00:00:00"/>
        <d v="2020-07-05T00:00:00"/>
        <d v="2020-07-11T00:00:00"/>
        <d v="2020-07-08T00:00:00"/>
        <d v="2020-07-16T00:00:00"/>
        <d v="2020-07-23T00:00:00"/>
        <d v="2020-07-14T00:00:00"/>
        <d v="2020-07-26T00:00:00"/>
        <d v="2020-07-22T00:00:00"/>
        <d v="2020-08-18T00:00:00"/>
        <d v="2020-08-06T00:00:00"/>
        <d v="2020-07-27T00:00:00"/>
        <d v="2020-08-07T00:00:00"/>
        <d v="2020-08-29T00:00:00"/>
        <d v="2020-08-10T00:00:00"/>
        <d v="2020-09-26T00:00:00"/>
        <d v="2020-08-11T00:00:00"/>
        <d v="2020-08-23T00:00:00"/>
        <d v="2020-08-16T00:00:00"/>
        <d v="2020-08-17T00:00:00"/>
        <d v="2020-08-22T00:00:00"/>
        <d v="2020-08-19T00:00:00"/>
        <d v="2020-08-21T00:00:00"/>
        <d v="2020-09-16T00:00:00"/>
        <d v="2020-08-25T00:00:00"/>
        <d v="2020-08-26T00:00:00"/>
        <d v="2020-08-27T00:00:00"/>
        <d v="2020-08-30T00:00:00"/>
        <d v="2020-08-28T00:00:00"/>
        <d v="2020-08-31T00:00:00"/>
        <d v="2020-09-01T00:00:00"/>
        <d v="2020-09-06T00:00:00"/>
        <d v="2020-09-02T00:00:00"/>
        <d v="2021-09-30T00:00:00"/>
        <d v="2020-09-03T00:00:00"/>
        <d v="2020-09-30T00:00:00"/>
        <d v="2020-09-04T00:00:00"/>
        <d v="2020-09-14T00:00:00"/>
        <d v="2020-09-10T00:00:00"/>
        <d v="2020-09-11T00:00:00"/>
        <d v="2020-09-12T00:00:00"/>
        <d v="2020-09-15T00:00:00"/>
        <d v="2020-09-18T00:00:00"/>
        <d v="2020-09-24T00:00:00"/>
        <d v="2020-09-19T00:00:00"/>
        <d v="2020-09-21T00:00:00"/>
        <d v="2020-09-22T00:00:00"/>
        <d v="2020-09-23T00:00:00"/>
        <d v="2020-09-25T00:00:00"/>
        <d v="2020-09-28T00:00:00"/>
        <d v="2020-10-02T00:00:00"/>
        <d v="2020-10-01T00:00:00"/>
        <d v="2020-10-19T00:00:00"/>
        <d v="2020-10-03T00:00:00"/>
        <d v="2020-10-04T00:00:00"/>
        <d v="2020-10-08T00:00:00"/>
        <d v="2020-10-09T00:00:00"/>
        <d v="2020-10-10T00:00:00"/>
        <d v="2020-11-11T00:00:00"/>
        <d v="2020-10-12T00:00:00"/>
        <d v="2020-10-13T00:00:00"/>
        <d v="2020-11-12T00:00:00"/>
        <d v="2020-10-14T00:00:00"/>
        <d v="2020-10-15T00:00:00"/>
        <d v="2020-10-16T00:00:00"/>
        <d v="2020-10-20T00:00:00"/>
        <d v="2020-11-04T00:00:00"/>
        <d v="2020-10-21T00:00:00"/>
        <d v="2020-10-23T00:00:00"/>
        <d v="2020-11-02T00:00:00"/>
        <d v="2020-11-10T00:00:00"/>
        <d v="2020-11-24T00:00:00"/>
        <d v="2020-11-23T00:00:00"/>
        <d v="2020-11-16T00:00:00"/>
        <d v="2020-11-17T00:00:00"/>
        <d v="2020-11-20T00:00:00"/>
        <d v="2020-11-26T00:00:00"/>
        <d v="2020-11-27T00:00:00"/>
        <d v="2020-12-05T00:00:00"/>
        <d v="2020-12-02T00:00:00"/>
        <d v="2020-12-12T00:00:00"/>
        <d v="2020-12-08T00:00:00"/>
        <d v="2021-01-07T00:00:00"/>
        <d v="2020-12-09T00:00:00"/>
        <d v="2020-12-10T00:00:00"/>
        <d v="2021-01-10T00:00:00"/>
        <d v="2020-12-11T00:00:00"/>
        <d v="2020-12-30T00:00:00"/>
        <d v="2020-12-14T00:00:00"/>
        <d v="2020-12-15T00:00:00"/>
        <d v="2020-12-25T00:00:00"/>
        <d v="2020-12-17T00:00:00"/>
        <d v="2020-12-18T00:00:00"/>
        <d v="2020-12-19T00:00:00"/>
        <d v="2020-12-21T00:00:00"/>
        <d v="2020-12-22T00:00:00"/>
        <d v="2020-12-23T00:00:00"/>
        <d v="2020-12-24T00:00:00"/>
        <d v="2020-12-28T00:00:00"/>
        <d v="2020-12-26T00:00:00"/>
        <d v="2020-12-29T00:00:00"/>
        <d v="2020-12-27T00:00:00"/>
        <d v="2021-01-01T00:00:00"/>
        <d v="2020-12-31T00:00:00"/>
        <d v="2021-01-30T00:00:00"/>
        <d v="2021-03-29T00:00:00"/>
        <d v="2021-01-12T00:00:00"/>
        <d v="2021-01-08T00:00:00"/>
        <d v="2021-01-02T00:00:00"/>
        <d v="2021-01-05T00:00:00"/>
        <d v="2021-01-16T00:00:00"/>
        <d v="2021-01-21T00:00:00"/>
        <d v="2021-01-17T00:00:00"/>
        <d v="2021-01-09T00:00:00"/>
        <d v="2021-01-13T00:00:00"/>
        <d v="2021-02-05T00:00:00"/>
        <d v="2021-01-29T00:00:00"/>
        <d v="2021-01-28T00:00:00"/>
        <d v="2021-01-18T00:00:00"/>
        <d v="2021-01-23T00:00:00"/>
        <d v="2021-01-26T00:00:00"/>
        <d v="2021-01-27T00:00:00"/>
        <d v="2021-11-30T00:00:00"/>
        <d v="2021-02-19T00:00:00"/>
        <d v="2021-02-01T00:00:00"/>
        <d v="2021-02-02T00:00:00"/>
        <d v="2021-02-03T00:00:00"/>
        <d v="2021-02-27T00:00:00"/>
        <d v="2021-02-09T00:00:00"/>
        <d v="2021-02-12T00:00:00"/>
        <d v="2021-02-10T00:00:00"/>
        <d v="2021-02-11T00:00:00"/>
        <d v="2021-02-23T00:00:00"/>
        <d v="2021-02-18T00:00:00"/>
        <d v="2021-02-20T00:00:00"/>
        <d v="2021-02-22T00:00:00"/>
        <d v="2021-02-28T00:00:00"/>
        <d v="2021-02-24T00:00:00"/>
        <d v="2021-02-25T00:00:00"/>
        <d v="2021-02-26T00:00:00"/>
        <d v="2021-03-19T00:00:00"/>
        <d v="2021-03-02T00:00:00"/>
        <d v="2021-03-30T00:00:00"/>
        <d v="2021-03-15T00:00:00"/>
        <d v="2021-03-11T00:00:00"/>
        <d v="2021-03-22T00:00:00"/>
        <d v="2021-03-13T00:00:00"/>
        <d v="2021-02-16T00:00:00"/>
        <d v="2021-03-16T00:00:00"/>
        <d v="2021-03-17T00:00:00"/>
        <d v="2021-03-18T00:00:00"/>
        <d v="2021-04-01T00:00:00"/>
        <d v="2021-03-24T00:00:00"/>
        <d v="2021-03-27T00:00:00"/>
        <d v="2021-03-28T00:00:00"/>
        <d v="2021-03-31T00:00:00"/>
        <d v="2021-04-02T00:00:00"/>
        <d v="2021-04-03T00:00:00"/>
        <d v="2021-04-04T00:00:00"/>
        <d v="2021-04-05T00:00:00"/>
        <d v="2021-04-06T00:00:00"/>
        <d v="2021-04-14T00:00:00"/>
        <d v="2021-04-07T00:00:00"/>
        <d v="2021-04-10T00:00:00"/>
        <d v="2021-04-08T00:00:00"/>
        <d v="2021-04-09T00:00:00"/>
        <d v="2021-04-12T00:00:00"/>
        <d v="2021-04-17T00:00:00"/>
        <d v="2021-04-16T00:00:00"/>
        <d v="2021-04-22T00:00:00"/>
        <d v="2021-04-19T00:00:00"/>
        <d v="2021-05-03T00:00:00"/>
        <d v="2021-05-20T00:00:00"/>
        <d v="2021-04-21T00:00:00"/>
        <d v="2021-04-23T00:00:00"/>
        <d v="2021-04-26T00:00:00"/>
        <d v="2021-04-27T00:00:00"/>
        <d v="2021-04-28T00:00:00"/>
        <d v="2021-04-29T00:00:00"/>
        <d v="2021-06-08T00:00:00"/>
        <d v="2021-04-30T00:00:00"/>
        <d v="2021-05-04T00:00:00"/>
        <d v="2021-05-05T00:00:00"/>
        <d v="2021-05-06T00:00:00"/>
        <d v="2021-05-11T00:00:00"/>
        <d v="2021-05-07T00:00:00"/>
        <d v="2021-06-12T00:00:00"/>
        <d v="2021-05-17T00:00:00"/>
        <d v="2021-05-21T00:00:00"/>
        <d v="2021-05-19T00:00:00"/>
        <d v="2021-05-18T00:00:00"/>
        <d v="2021-06-04T00:00:00"/>
        <d v="2021-05-24T00:00:00"/>
        <d v="2021-06-24T00:00:00"/>
        <d v="2021-06-10T00:00:00"/>
        <d v="2021-05-26T00:00:00"/>
        <d v="2021-06-22T00:00:00"/>
        <d v="2021-05-27T00:00:00"/>
        <d v="2021-05-29T00:00:00"/>
        <d v="2021-05-31T00:00:00"/>
        <d v="2021-06-16T00:00:00"/>
        <d v="2021-06-13T00:00:00"/>
        <d v="2021-06-14T00:00:00"/>
        <d v="2021-06-17T00:00:00"/>
        <d v="2021-06-19T00:00:00"/>
        <d v="2021-06-21T00:00:00"/>
        <d v="2021-06-26T00:00:00"/>
        <d v="2021-06-23T00:00:00"/>
        <d v="2021-06-25T00:00:00"/>
        <d v="2021-07-02T00:00:00"/>
        <d v="2021-07-05T00:00:00"/>
        <d v="2021-07-15T00:00:00"/>
        <d v="2021-07-06T00:00:00"/>
        <d v="2021-07-08T00:00:00"/>
        <d v="2021-07-07T00:00:00"/>
        <d v="2021-07-11T00:00:00"/>
        <d v="2021-07-10T00:00:00"/>
        <d v="2021-07-14T00:00:00"/>
        <d v="2021-09-12T00:00:00"/>
        <d v="2021-09-15T00:00:00"/>
        <d v="2021-07-16T00:00:00"/>
        <d v="2021-07-17T00:00:00"/>
        <d v="2021-07-26T00:00:00"/>
        <d v="2021-07-27T00:00:00"/>
        <d v="2021-08-10T00:00:00"/>
        <d v="2021-07-29T00:00:00"/>
        <d v="2021-08-08T00:00:00"/>
        <d v="2021-07-30T00:00:00"/>
        <d v="2021-09-10T00:00:00"/>
        <d v="2021-08-02T00:00:00"/>
        <d v="2021-08-03T00:00:00"/>
        <d v="2021-08-04T00:00:00"/>
        <d v="2021-08-06T00:00:00"/>
        <d v="2021-08-07T00:00:00"/>
        <d v="2021-08-17T00:00:00"/>
        <d v="2021-08-14T00:00:00"/>
        <d v="2021-08-31T00:00:00"/>
        <d v="2021-09-02T00:00:00"/>
        <d v="2021-09-01T00:00:00"/>
        <d v="2021-09-03T00:00:00"/>
        <d v="2021-09-04T00:00:00"/>
        <d v="2021-09-06T00:00:00"/>
        <d v="2021-09-14T00:00:00"/>
        <d v="2021-09-09T00:00:00"/>
        <d v="2021-09-13T00:00:00"/>
        <d v="2021-09-16T00:00:00"/>
        <d v="2021-09-19T00:00:00"/>
        <d v="2021-09-17T00:00:00"/>
        <d v="2021-09-26T00:00:00"/>
        <d v="2021-10-04T00:00:00"/>
        <d v="2021-09-20T00:00:00"/>
        <d v="2021-09-29T00:00:00"/>
        <d v="2021-09-21T00:00:00"/>
        <d v="2021-09-22T00:00:00"/>
        <d v="2021-09-24T00:00:00"/>
        <d v="2021-09-25T00:00:00"/>
        <d v="2021-09-27T00:00:00"/>
        <d v="2021-10-12T00:00:00"/>
        <d v="2021-10-01T00:00:00"/>
        <d v="2021-10-05T00:00:00"/>
        <d v="2021-10-08T00:00:00"/>
        <d v="2021-10-09T00:00:00"/>
        <d v="2021-10-11T00:00:00"/>
        <d v="2021-10-18T00:00:00"/>
        <d v="2021-10-15T00:00:00"/>
        <d v="2021-10-21T00:00:00"/>
        <d v="2021-10-22T00:00:00"/>
        <d v="2021-10-31T00:00:00"/>
        <d v="2021-11-04T00:00:00"/>
        <d v="2021-10-24T00:00:00"/>
        <d v="2021-11-25T00:00:00"/>
        <d v="2021-10-25T00:00:00"/>
        <d v="2021-10-26T00:00:00"/>
        <d v="2021-10-27T00:00:00"/>
        <d v="2021-10-28T00:00:00"/>
        <d v="2021-10-30T00:00:00"/>
        <d v="2021-11-01T00:00:00"/>
        <d v="2021-11-19T00:00:00"/>
        <d v="2021-11-17T00:00:00"/>
        <d v="2021-11-22T00:00:00"/>
        <d v="2021-11-02T00:00:00"/>
        <d v="2021-11-03T00:00:00"/>
        <d v="2021-11-09T00:00:00"/>
        <d v="2021-12-11T00:00:00"/>
        <d v="2021-11-11T00:00:00"/>
        <d v="2021-11-13T00:00:00"/>
        <d v="2021-11-12T00:00:00"/>
        <d v="2021-11-18T00:00:00"/>
        <d v="2021-11-15T00:00:00"/>
        <d v="2021-11-28T00:00:00"/>
        <d v="2021-11-29T00:00:00"/>
        <d v="2021-11-20T00:00:00"/>
        <d v="2021-11-24T00:00:00"/>
        <d v="2021-12-12T00:00:00"/>
        <d v="2021-11-23T00:00:00"/>
        <d v="2021-11-26T00:00:00"/>
        <d v="2021-12-04T00:00:00"/>
        <d v="2021-12-02T00:00:00"/>
        <d v="2021-12-03T00:00:00"/>
        <d v="2022-01-03T00:00:00"/>
        <d v="2021-12-05T00:00:00"/>
        <d v="2021-12-07T00:00:00"/>
        <d v="2021-12-14T00:00:00"/>
        <d v="2021-12-09T00:00:00"/>
        <d v="2021-12-17T00:00:00"/>
        <d v="2021-12-13T00:00:00"/>
        <d v="2021-12-15T00:00:00"/>
        <d v="2021-12-16T00:00:00"/>
        <d v="2021-12-31T00:00:00"/>
        <d v="2021-12-19T00:00:00"/>
        <d v="2021-12-22T00:00:00"/>
        <d v="2021-12-24T00:00:00"/>
        <d v="2022-01-10T00:00:00"/>
        <d v="2021-12-23T00:00:00"/>
        <d v="2021-12-26T00:00:00"/>
        <d v="2021-12-28T00:00:00"/>
        <d v="2022-01-01T00:00:00"/>
        <d v="2022-01-15T00:00:00"/>
        <d v="2022-01-05T00:00:00"/>
        <d v="2022-01-07T00:00:00"/>
        <d v="2022-01-08T00:00:00"/>
        <d v="2022-01-09T00:00:00"/>
        <d v="2022-01-11T00:00:00"/>
        <d v="2022-01-13T00:00:00"/>
        <d v="2022-01-14T00:00:00"/>
        <d v="2022-03-01T00:00:00"/>
        <d v="2022-01-18T00:00:00"/>
        <d v="2022-01-28T00:00:00"/>
        <d v="2022-01-20T00:00:00"/>
        <d v="2022-02-14T00:00:00"/>
        <d v="2022-03-20T00:00:00"/>
        <d v="2022-01-24T00:00:00"/>
        <d v="2022-01-25T00:00:00"/>
        <d v="2022-06-15T00:00:00"/>
        <d v="2022-02-06T00:00:00"/>
        <d v="2022-01-30T00:00:00"/>
        <d v="2022-02-01T00:00:00"/>
        <d v="2022-02-28T00:00:00"/>
        <d v="2022-02-02T00:00:00"/>
        <d v="2022-04-01T00:00:00"/>
        <d v="2022-02-03T00:00:00"/>
        <d v="2022-02-04T00:00:00"/>
        <d v="2022-02-08T00:00:00"/>
        <d v="2022-02-05T00:00:00"/>
        <d v="2022-02-09T00:00:00"/>
        <d v="2022-02-12T00:00:00"/>
        <d v="2022-03-10T00:00:00"/>
        <d v="2022-02-11T00:00:00"/>
        <d v="2022-03-18T00:00:00"/>
        <d v="2022-02-16T00:00:00"/>
        <d v="2022-02-17T00:00:00"/>
        <d v="2022-02-19T00:00:00"/>
        <d v="2022-03-14T00:00:00"/>
        <d v="2022-02-22T00:00:00"/>
        <d v="2022-02-21T00:00:00"/>
        <d v="2022-02-26T00:00:00"/>
        <d v="2022-02-23T00:00:00"/>
        <d v="2022-03-05T00:00:00"/>
        <d v="2022-05-11T00:00:00"/>
        <d v="2022-03-30T00:00:00"/>
        <d v="2022-03-02T00:00:00"/>
        <d v="2022-03-04T00:00:00"/>
        <d v="2022-03-07T00:00:00"/>
        <d v="2022-03-03T00:00:00"/>
        <d v="2022-03-12T00:00:00"/>
        <d v="2022-03-15T00:00:00"/>
        <d v="2022-03-17T00:00:00"/>
        <d v="2022-03-19T00:00:00"/>
        <d v="2022-03-21T00:00:00"/>
        <d v="2022-03-22T00:00:00"/>
        <d v="2022-03-23T00:00:00"/>
        <d v="2022-03-24T00:00:00"/>
        <d v="2022-03-25T00:00:00"/>
        <d v="2022-03-26T00:00:00"/>
        <d v="2022-03-28T00:00:00"/>
        <d v="2022-04-30T00:00:00"/>
        <d v="2022-04-02T00:00:00"/>
        <d v="2022-04-04T00:00:00"/>
        <d v="2022-04-20T00:00:00"/>
        <d v="2022-04-08T00:00:00"/>
        <d v="2022-04-06T00:00:00"/>
        <d v="2022-04-07T00:00:00"/>
        <d v="2022-04-26T00:00:00"/>
        <d v="2022-04-12T00:00:00"/>
        <d v="2022-04-16T00:00:00"/>
        <d v="2022-04-18T00:00:00"/>
        <d v="2022-04-22T00:00:00"/>
        <d v="2022-06-22T00:00:00"/>
        <d v="2022-04-23T00:00:00"/>
        <d v="2022-04-24T00:00:00"/>
        <d v="2022-04-29T00:00:00"/>
        <d v="2022-05-25T00:00:00"/>
        <d v="2022-05-30T00:00:00"/>
        <d v="2022-05-10T00:00:00"/>
        <d v="2022-05-05T00:00:00"/>
        <d v="2022-05-26T00:00:00"/>
        <d v="2022-06-07T00:00:00"/>
        <d v="2022-05-15T00:00:00"/>
        <d v="2022-05-20T00:00:00"/>
        <d v="2022-05-24T00:00:00"/>
        <d v="2022-07-02T00:00:00"/>
        <d v="2022-05-31T00:00:00"/>
        <d v="2022-05-28T00:00:00"/>
        <d v="2022-07-01T00:00:00"/>
        <d v="2022-06-03T00:00:00"/>
        <d v="2022-06-04T00:00:00"/>
        <d v="2022-06-09T00:00:00"/>
        <d v="2022-06-10T00:00:00"/>
        <d v="2022-06-13T00:00:00"/>
        <d v="2022-06-16T00:00:00"/>
        <d v="2022-06-17T00:00:00"/>
        <d v="2022-06-18T00:00:00"/>
        <d v="2022-06-20T00:00:00"/>
        <d v="2022-06-21T00:00:00"/>
        <d v="2023-11-28T00:00:00"/>
        <d v="2023-01-07T00:00:00"/>
        <d v="2023-01-15T00:00:00"/>
        <d v="2023-01-10T00:00:00"/>
        <s v="c"/>
        <d v="2023-02-24T00:00:00"/>
        <d v="2023-02-18T00:00:00"/>
        <d v="2023-02-17T00:00:00"/>
        <d v="2023-03-02T00:00:00"/>
        <d v="2023-03-30T00:00:00"/>
        <d v="2023-03-20T00:00:00"/>
        <d v="2023-03-09T00:00:00"/>
        <d v="2023-03-06T00:00:00"/>
        <d v="2023-03-15T00:00:00"/>
        <d v="2023-03-08T00:00:00"/>
        <d v="2023-03-11T00:00:00"/>
        <d v="2023-03-18T00:00:00"/>
        <d v="2023-03-19T00:00:00"/>
        <d v="2023-03-21T00:00:00"/>
        <d v="2023-03-22T00:00:00"/>
        <d v="2023-03-23T00:00:00"/>
        <d v="2023-03-28T00:00:00"/>
        <d v="2023-03-27T00:00:00"/>
        <d v="2023-04-04T00:00:00"/>
        <d v="2023-04-07T00:00:00"/>
        <d v="2023-04-05T00:00:00"/>
        <d v="2023-04-03T00:00:00"/>
        <d v="2023-04-06T00:00:00"/>
        <d v="2023-04-14T00:00:00"/>
        <d v="2023-04-12T00:00:00"/>
        <d v="2023-04-15T00:00:00"/>
        <d v="2023-04-18T00:00:00"/>
        <d v="2023-04-30T00:00:00"/>
        <d v="2023-04-28T00:00:00"/>
        <d v="2023-04-29T00:00:00"/>
        <d v="2026-06-05T00:00:00"/>
        <d v="2023-05-02T00:00:00"/>
        <d v="2023-05-03T00:00:00"/>
        <d v="2023-05-04T00:00:00"/>
        <d v="2023-05-08T00:00:00"/>
        <d v="2023-05-09T00:00:00"/>
        <d v="2023-05-11T00:00:00"/>
        <d v="2023-05-13T00:00:00"/>
        <d v="2023-05-12T00:00:00"/>
        <d v="2023-05-17T00:00:00"/>
        <d v="2023-05-15T00:00:00"/>
        <d v="2023-05-18T00:00:00"/>
        <d v="2023-05-19T00:00:00"/>
        <d v="2023-05-22T00:00:00"/>
        <d v="2023-05-25T00:00:00"/>
        <d v="2023-05-23T00:00:00"/>
        <d v="2023-05-27T00:00:00"/>
        <d v="2023-05-26T00:00:00"/>
        <d v="2023-05-28T00:00:00"/>
        <d v="2023-05-30T00:00:00"/>
        <d v="2023-06-02T00:00:00"/>
        <d v="2023-06-05T00:00:00"/>
        <d v="2023-06-07T00:00:00"/>
        <d v="2023-06-06T00:00:00"/>
        <d v="2023-06-08T00:00:00"/>
        <d v="2023-06-10T00:00:00"/>
        <d v="2023-06-11T00:00:00"/>
        <d v="2023-06-17T00:00:00"/>
        <d v="2023-06-20T00:00:00"/>
        <d v="2023-06-23T00:00:00"/>
        <d v="2023-06-18T00:00:00"/>
        <d v="2023-06-24T00:00:00"/>
        <d v="2023-06-21T00:00:00"/>
        <d v="2023-06-22T00:00:00"/>
        <d v="2023-07-05T00:00:00"/>
        <d v="2023-07-08T00:00:00"/>
        <d v="2023-07-06T00:00:00"/>
        <d v="2023-07-15T00:00:00"/>
        <d v="2023-07-13T00:00:00"/>
        <d v="2023-08-26T00:00:00"/>
        <d v="2023-07-18T00:00:00"/>
        <d v="2023-07-20T00:00:00"/>
        <d v="2023-07-24T00:00:00"/>
        <d v="2023-08-02T00:00:00"/>
        <d v="2023-07-26T00:00:00"/>
        <d v="2023-07-27T00:00:00"/>
        <d v="2023-07-28T00:00:00"/>
        <d v="2023-07-29T00:00:00"/>
        <d v="2023-08-06T00:00:00"/>
        <d v="2023-08-15T00:00:00"/>
        <d v="2023-08-03T00:00:00"/>
        <d v="2023-08-05T00:00:00"/>
        <d v="2023-08-23T00:00:00"/>
        <d v="2023-08-22T00:00:00"/>
        <d v="2023-08-13T00:00:00"/>
        <d v="2023-08-25T00:00:00"/>
        <d v="2023-08-29T00:00:00"/>
        <d v="2023-08-31T00:00:00"/>
        <d v="2023-09-07T00:00:00"/>
        <d v="2023-09-10T00:00:00"/>
        <d v="2023-09-14T00:00:00"/>
        <d v="2023-09-30T00:00:00"/>
        <d v="2023-09-24T00:00:00"/>
        <d v="2023-09-26T00:00:00"/>
        <d v="2023-10-07T00:00:00"/>
        <d v="2023-10-04T00:00:00"/>
        <d v="2023-10-16T00:00:00"/>
        <d v="2023-10-05T00:00:00"/>
        <d v="2023-10-06T00:00:00"/>
        <d v="2023-10-09T00:00:00"/>
        <d v="2023-10-30T00:00:00"/>
        <d v="2023-10-10T00:00:00"/>
        <d v="2023-11-15T00:00:00"/>
        <d v="2023-10-26T00:00:00"/>
        <d v="2023-10-22T00:00:00"/>
        <d v="2023-10-12T00:00:00"/>
        <d v="2023-10-23T00:00:00"/>
        <d v="2023-10-20T00:00:00"/>
        <d v="2023-10-18T00:00:00"/>
        <d v="2023-10-29T00:00:00"/>
        <d v="2023-11-01T00:00:00"/>
        <d v="2023-11-30T00:00:00"/>
        <d v="2023-11-02T00:00:00"/>
        <d v="2023-11-03T00:00:00"/>
        <d v="2023-11-07T00:00:00"/>
        <d v="2023-11-11T00:00:00"/>
        <d v="2023-11-16T00:00:00"/>
        <d v="2023-11-20T00:00:00"/>
        <d v="2023-11-21T00:00:00"/>
        <d v="2023-11-22T00:00:00"/>
        <d v="2023-11-27T00:00:00"/>
        <d v="2023-11-29T00:00:00"/>
        <d v="2023-12-20T00:00:00"/>
        <d v="2023-12-16T00:00:00"/>
        <d v="2023-12-14T00:00:00"/>
        <d v="2023-12-30T00:00:00"/>
        <d v="2023-12-25T00:00:00"/>
        <d v="2023-12-27T00:00:00"/>
        <d v="2023-12-31T00:00:00"/>
        <d v="2024-01-02T00:00:00"/>
        <d v="2024-01-12T00:00:00"/>
        <d v="2024-01-07T00:00:00"/>
        <d v="2024-01-03T00:00:00"/>
        <d v="2024-01-08T00:00:00"/>
        <d v="2024-01-06T00:00:00"/>
        <d v="2024-01-04T00:00:00"/>
        <d v="2024-01-11T00:00:00"/>
        <d v="2024-01-10T00:00:00"/>
        <d v="2024-01-16T00:00:00"/>
        <d v="2024-01-17T00:00:00"/>
        <d v="2024-01-22T00:00:00"/>
        <d v="2024-01-21T00:00:00"/>
        <d v="2024-01-29T00:00:00"/>
        <d v="2024-01-26T00:00:00"/>
        <s v="24/01/224"/>
        <d v="2024-01-27T00:00:00"/>
        <d v="2024-01-30T00:00:00"/>
        <d v="2024-01-31T00:00:00"/>
        <d v="2024-02-01T00:00:00"/>
        <d v="2024-02-09T00:00:00"/>
        <d v="2024-02-02T00:00:00"/>
        <d v="2024-02-04T00:00:00"/>
        <d v="2024-02-03T00:00:00"/>
        <d v="2024-02-22T00:00:00"/>
        <d v="2024-02-07T00:00:00"/>
        <s v="08/02/224"/>
        <d v="2024-02-08T00:00:00"/>
        <d v="2024-02-10T00:00:00"/>
        <d v="2024-02-12T00:00:00"/>
        <d v="2024-02-14T00:00:00"/>
        <d v="2024-02-24T00:00:00"/>
        <d v="2024-02-17T00:00:00"/>
        <d v="2024-02-28T00:00:00"/>
        <d v="2024-02-21T00:00:00"/>
        <d v="2024-02-23T00:00:00"/>
        <d v="2024-02-26T00:00:00"/>
        <d v="2024-03-01T00:00:00"/>
        <d v="2024-03-15T00:00:00"/>
        <d v="2024-03-06T00:00:00"/>
        <d v="2024-03-05T00:00:00"/>
        <d v="2024-03-08T00:00:00"/>
        <d v="2024-03-12T00:00:00"/>
        <d v="2024-03-13T00:00:00"/>
        <d v="2024-03-24T00:00:00"/>
        <d v="2024-03-23T00:00:00"/>
        <d v="2024-03-25T00:00:00"/>
        <d v="2024-03-20T00:00:00"/>
        <d v="2024-03-19T00:00:00"/>
        <d v="2024-03-22T00:00:00"/>
        <d v="2024-03-21T00:00:00"/>
        <d v="2024-03-31T00:00:00"/>
        <d v="2024-03-27T00:00:00"/>
        <d v="2024-03-28T00:00:00"/>
        <d v="2024-04-01T00:00:00"/>
        <d v="2024-04-08T00:00:00"/>
        <d v="2024-04-02T00:00:00"/>
        <d v="2024-04-09T00:00:00"/>
        <d v="2024-04-04T00:00:00"/>
        <d v="2024-04-05T00:00:00"/>
        <d v="2024-04-18T00:00:00"/>
        <d v="2024-04-17T00:00:00"/>
        <d v="2024-05-06T00:00:00"/>
        <d v="2024-04-28T00:00:00"/>
        <d v="2024-04-22T00:00:00"/>
        <d v="2024-04-23T00:00:00"/>
        <d v="2024-04-25T00:00:00"/>
        <d v="2024-04-27T00:00:00"/>
        <d v="2024-04-30T00:00:00"/>
        <d v="2024-05-03T00:00:00"/>
        <d v="2024-05-23T00:00:00"/>
        <d v="2024-05-02T00:00:00"/>
        <d v="2024-05-05T00:00:00"/>
        <d v="2024-05-10T00:00:00"/>
        <d v="2024-05-07T00:00:00"/>
        <d v="2024-05-08T00:00:00"/>
        <d v="2024-05-13T00:00:00"/>
        <d v="2024-05-16T00:00:00"/>
        <d v="2024-05-14T00:00:00"/>
        <d v="2024-05-22T00:00:00"/>
        <d v="2024-05-18T00:00:00"/>
        <d v="2024-05-25T00:00:00"/>
        <d v="2024-05-27T00:00:00"/>
        <d v="2024-05-31T00:00:00"/>
        <d v="2024-06-05T00:00:00"/>
        <d v="2024-06-10T00:00:00"/>
        <d v="2024-06-08T00:00:00"/>
        <d v="2024-06-13T00:00:00"/>
        <d v="2024-06-14T00:00:00"/>
        <s v="150/06/2024"/>
        <d v="2024-06-18T00:00:00"/>
        <d v="2024-06-15T00:00:00"/>
        <d v="2024-06-25T00:00:00"/>
        <d v="2024-06-27T00:00:00"/>
        <d v="2024-07-03T00:00:00"/>
        <d v="2024-07-08T00:00:00"/>
        <d v="2024-07-14T00:00:00"/>
        <d v="2024-07-20T00:00:00"/>
        <d v="2024-07-15T00:00:00"/>
        <d v="2024-07-21T00:00:00"/>
        <d v="2024-07-17T00:00:00"/>
        <d v="2024-07-19T00:00:00"/>
        <d v="2024-07-23T00:00:00"/>
        <d v="2024-07-31T00:00:00"/>
        <d v="2024-07-24T00:00:00"/>
        <d v="2024-07-25T00:00:00"/>
        <d v="2024-08-01T00:00:00"/>
        <d v="2024-12-04T00:00:00"/>
        <d v="2024-08-02T00:00:00"/>
        <d v="2024-08-04T00:00:00"/>
        <d v="2024-08-03T00:00:00"/>
        <d v="2024-08-06T00:00:00"/>
        <d v="2024-08-08T00:00:00"/>
        <d v="2024-08-13T00:00:00"/>
        <s v="Je pense que j’ai tout les compétences que vous recherchez au poste d’un technicien" u="1"/>
        <d v="2021-08-16T00:00:00" u="1"/>
        <s v="ESSABER Abdelaziz .mécanicien poids lourd avec expérience de dix ans dans le domaine" u="1"/>
        <d v="2021-08-28T00:00:00" u="1"/>
        <s v="Je veux adresse ma candidature dans le groupe OCP pour le poste technicien de réparation ou responsable d’atelier selon mon expérience qui a retenue toute mon attention " u="1"/>
        <d v="2021-08-23T00:00:00" u="1"/>
      </sharedItems>
    </cacheField>
    <cacheField name="Observations / Avancement" numFmtId="0">
      <sharedItems containsDate="1" containsString="0" containsBlank="1" containsMixedTypes="1" minDate="2021-10-02T00:00:00" maxDate="1899-12-31T01:43:04"/>
    </cacheField>
    <cacheField name="Rappel" numFmtId="0">
      <sharedItems containsNonDate="0" containsString="0" containsBlank="1"/>
    </cacheField>
    <cacheField name="Mois" numFmtId="0">
      <sharedItems containsBlank="1" containsMixedTypes="1" containsNumber="1" containsInteger="1" minValue="1" maxValue="12" count="15">
        <e v="#REF!"/>
        <n v="1"/>
        <s v=" "/>
        <m/>
        <n v="11" u="1"/>
        <n v="12" u="1"/>
        <n v="6" u="1"/>
        <n v="3" u="1"/>
        <n v="7" u="1"/>
        <n v="8" u="1"/>
        <n v="4" u="1"/>
        <n v="2" u="1"/>
        <n v="9" u="1"/>
        <n v="10" u="1"/>
        <n v="5" u="1"/>
      </sharedItems>
    </cacheField>
    <cacheField name="An" numFmtId="0">
      <sharedItems containsBlank="1" containsMixedTypes="1" containsNumber="1" containsInteger="1" minValue="1900" maxValue="2024" count="10">
        <e v="#REF!"/>
        <n v="2024"/>
        <m/>
        <n v="2022" u="1"/>
        <n v="2023" u="1"/>
        <n v="1900" u="1"/>
        <n v="2002" u="1"/>
        <n v="2019" u="1"/>
        <n v="2020" u="1"/>
        <n v="2021" u="1"/>
      </sharedItems>
    </cacheField>
  </cacheFields>
  <extLst>
    <ext xmlns:x14="http://schemas.microsoft.com/office/spreadsheetml/2009/9/main" uri="{725AE2AE-9491-48be-B2B4-4EB974FC3084}">
      <x14:pivotCacheDefinition pivotCacheId="1796060912"/>
    </ext>
  </extLst>
</pivotCacheDefinition>
</file>

<file path=xl/pivotCache/pivotCacheDefinition2.xml><?xml version="1.0" encoding="utf-8"?>
<pivotCacheDefinition xmlns="http://schemas.openxmlformats.org/spreadsheetml/2006/main" xmlns:r="http://schemas.openxmlformats.org/officeDocument/2006/relationships" r:id="rId1" refreshedBy="m.maslouhi" refreshedDate="45632.507914583337" createdVersion="4" refreshedVersion="3" minRefreshableVersion="3" recordCount="1406">
  <cacheSource type="worksheet">
    <worksheetSource name="Tableau13"/>
  </cacheSource>
  <cacheFields count="18">
    <cacheField name="Date début" numFmtId="14">
      <sharedItems containsDate="1" containsMixedTypes="1" minDate="2002-05-11T00:00:00" maxDate="2024-08-14T00:00:00" count="957">
        <d v="2002-07-13T00:00:00"/>
        <d v="2019-11-01T00:00:00"/>
        <d v="2019-11-04T00:00:00"/>
        <d v="2019-11-06T00:00:00"/>
        <d v="2019-11-07T00:00:00"/>
        <d v="2019-11-12T00:00:00"/>
        <d v="2019-11-13T00:00:00"/>
        <d v="2019-11-14T00:00:00"/>
        <d v="2019-11-15T00:00:00"/>
        <d v="2019-11-16T00:00:00"/>
        <d v="2019-11-19T00:00:00"/>
        <d v="2019-11-20T00:00:00"/>
        <d v="2019-11-21T00:00:00"/>
        <d v="2019-11-22T00:00:00"/>
        <d v="2019-11-24T00:00:00"/>
        <d v="2019-11-25T00:00:00"/>
        <d v="2019-11-26T00:00:00"/>
        <d v="2019-11-28T00:00:00"/>
        <d v="2019-11-30T00:00:00"/>
        <d v="2019-12-02T00:00:00"/>
        <d v="2019-12-03T00:00:00"/>
        <d v="2019-12-04T00:00:00"/>
        <d v="2019-12-05T00:00:00"/>
        <d v="2019-12-06T00:00:00"/>
        <d v="2019-12-07T00:00:00"/>
        <d v="2019-12-09T00:00:00"/>
        <d v="2019-12-10T00:00:00"/>
        <d v="2019-12-11T00:00:00"/>
        <d v="2019-12-12T00:00:00"/>
        <d v="2019-12-13T00:00:00"/>
        <d v="2019-12-15T00:00:00"/>
        <d v="2019-12-16T00:00:00"/>
        <d v="2019-12-18T00:00:00"/>
        <d v="2019-12-19T00:00:00"/>
        <d v="2019-12-23T00:00:00"/>
        <d v="2019-12-24T00:00:00"/>
        <d v="2019-12-25T00:00:00"/>
        <d v="2019-12-27T00:00:00"/>
        <d v="2019-12-30T00:00:00"/>
        <d v="2020-01-01T00:00:00"/>
        <d v="2020-01-02T00:00:00"/>
        <d v="2020-01-04T00:00:00"/>
        <d v="2020-01-06T00:00:00"/>
        <d v="2020-01-07T00:00:00"/>
        <d v="2020-01-08T00:00:00"/>
        <d v="2020-01-09T00:00:00"/>
        <d v="2020-01-10T00:00:00"/>
        <d v="2020-01-11T00:00:00"/>
        <d v="2020-01-13T00:00:00"/>
        <d v="2020-01-15T00:00:00"/>
        <d v="2020-01-16T00:00:00"/>
        <d v="2020-01-17T00:00:00"/>
        <d v="2020-01-18T00:00:00"/>
        <d v="2020-01-20T00:00:00"/>
        <d v="2020-01-21T00:00:00"/>
        <d v="2020-01-22T00:00:00"/>
        <d v="2020-01-23T00:00:00"/>
        <d v="2020-01-24T00:00:00"/>
        <d v="2020-01-25T00:00:00"/>
        <d v="2020-01-27T00:00:00"/>
        <d v="2020-01-28T00:00:00"/>
        <d v="2020-01-29T00:00:00"/>
        <d v="2020-01-31T00:00:00"/>
        <d v="2020-02-01T00:00:00"/>
        <d v="2020-02-02T00:00:00"/>
        <d v="2020-02-03T00:00:00"/>
        <d v="2020-02-04T00:00:00"/>
        <d v="2020-02-05T00:00:00"/>
        <d v="2020-02-07T00:00:00"/>
        <d v="2020-02-08T00:00:00"/>
        <d v="2020-02-09T00:00:00"/>
        <d v="2020-02-12T00:00:00"/>
        <d v="2020-02-14T00:00:00"/>
        <d v="2020-02-15T00:00:00"/>
        <d v="2020-02-17T00:00:00"/>
        <d v="2020-02-18T00:00:00"/>
        <d v="2020-02-19T00:00:00"/>
        <d v="2020-02-22T00:00:00"/>
        <d v="2020-02-24T00:00:00"/>
        <d v="2020-02-25T00:00:00"/>
        <d v="2020-02-26T00:00:00"/>
        <d v="2020-02-27T00:00:00"/>
        <d v="2020-03-03T00:00:00"/>
        <d v="2020-03-04T00:00:00"/>
        <d v="2020-03-06T00:00:00"/>
        <d v="2020-03-09T00:00:00"/>
        <d v="2020-03-10T00:00:00"/>
        <d v="2020-03-13T00:00:00"/>
        <d v="2020-03-15T00:00:00"/>
        <d v="2020-03-16T00:00:00"/>
        <d v="2020-03-18T00:00:00"/>
        <d v="2020-03-19T00:00:00"/>
        <d v="2020-03-21T00:00:00"/>
        <d v="2020-03-23T00:00:00"/>
        <d v="2020-03-24T00:00:00"/>
        <d v="2020-04-10T00:00:00"/>
        <d v="2020-04-11T00:00:00"/>
        <d v="2020-04-13T00:00:00"/>
        <d v="2020-04-14T00:00:00"/>
        <d v="2020-04-15T00:00:00"/>
        <d v="2020-04-17T00:00:00"/>
        <d v="2020-04-20T00:00:00"/>
        <d v="2020-04-22T00:00:00"/>
        <d v="2020-04-24T00:00:00"/>
        <d v="2020-04-25T00:00:00"/>
        <d v="2020-04-29T00:00:00"/>
        <d v="2020-04-30T00:00:00"/>
        <d v="2020-05-02T00:00:00"/>
        <d v="2020-05-04T00:00:00"/>
        <d v="2020-05-05T00:00:00"/>
        <d v="2020-05-07T00:00:00"/>
        <d v="2020-05-09T00:00:00"/>
        <d v="2020-05-12T00:00:00"/>
        <d v="2020-05-14T00:00:00"/>
        <d v="2020-05-15T00:00:00"/>
        <d v="2020-05-19T00:00:00"/>
        <d v="2020-05-20T00:00:00"/>
        <d v="2020-06-01T00:00:00"/>
        <d v="2020-06-02T00:00:00"/>
        <d v="2020-06-04T00:00:00"/>
        <d v="2020-06-05T00:00:00"/>
        <d v="2020-06-08T00:00:00"/>
        <d v="2020-06-12T00:00:00"/>
        <d v="2020-06-13T00:00:00"/>
        <d v="2020-06-15T00:00:00"/>
        <d v="2020-06-16T00:00:00"/>
        <d v="2020-06-19T00:00:00"/>
        <d v="2020-06-20T00:00:00"/>
        <d v="2020-06-22T00:00:00"/>
        <d v="2020-06-23T00:00:00"/>
        <d v="2020-06-24T00:00:00"/>
        <d v="2020-06-25T00:00:00"/>
        <d v="2020-06-26T00:00:00"/>
        <d v="2020-06-27T00:00:00"/>
        <d v="2020-06-30T00:00:00"/>
        <d v="2020-07-01T00:00:00"/>
        <d v="2020-07-03T00:00:00"/>
        <d v="2020-07-04T00:00:00"/>
        <d v="2020-07-06T00:00:00"/>
        <d v="2020-07-09T00:00:00"/>
        <d v="2020-07-11T00:00:00"/>
        <d v="2020-07-14T00:00:00"/>
        <d v="2020-07-17T00:00:00"/>
        <d v="2020-07-18T00:00:00"/>
        <d v="2020-07-21T00:00:00"/>
        <d v="2020-07-22T00:00:00"/>
        <d v="2020-07-23T00:00:00"/>
        <d v="2020-07-27T00:00:00"/>
        <d v="2020-07-29T00:00:00"/>
        <d v="2020-08-07T00:00:00"/>
        <d v="2020-08-10T00:00:00"/>
        <d v="2020-08-11T00:00:00"/>
        <d v="2020-08-15T00:00:00"/>
        <d v="2020-08-17T00:00:00"/>
        <d v="2020-08-18T00:00:00"/>
        <d v="2020-08-21T00:00:00"/>
        <d v="2020-08-22T00:00:00"/>
        <d v="2020-08-24T00:00:00"/>
        <d v="2020-08-25T00:00:00"/>
        <d v="2020-08-26T00:00:00"/>
        <d v="2020-08-27T00:00:00"/>
        <d v="2020-08-28T00:00:00"/>
        <d v="2020-08-29T00:00:00"/>
        <d v="2020-08-31T00:00:00"/>
        <d v="2020-09-01T00:00:00"/>
        <d v="2020-09-02T00:00:00"/>
        <d v="2020-09-03T00:00:00"/>
        <d v="2020-09-04T00:00:00"/>
        <d v="2020-09-07T00:00:00"/>
        <d v="2020-09-10T00:00:00"/>
        <d v="2020-09-11T00:00:00"/>
        <d v="2020-09-12T00:00:00"/>
        <d v="2020-09-14T00:00:00"/>
        <d v="2020-09-15T00:00:00"/>
        <d v="2020-09-16T00:00:00"/>
        <d v="2020-09-18T00:00:00"/>
        <d v="2020-09-19T00:00:00"/>
        <d v="2020-09-21T00:00:00"/>
        <d v="2020-09-22T00:00:00"/>
        <d v="2020-09-23T00:00:00"/>
        <d v="2020-09-25T00:00:00"/>
        <d v="2020-09-26T00:00:00"/>
        <d v="2020-09-28T00:00:00"/>
        <d v="2020-09-30T00:00:00"/>
        <d v="2020-10-01T00:00:00"/>
        <d v="2020-10-02T00:00:00"/>
        <d v="2020-10-03T00:00:00"/>
        <d v="2020-10-04T00:00:00"/>
        <d v="2020-10-08T00:00:00"/>
        <d v="2020-10-09T00:00:00"/>
        <d v="2020-10-10T00:00:00"/>
        <d v="2020-10-11T00:00:00"/>
        <d v="2020-10-12T00:00:00"/>
        <d v="2020-10-13T00:00:00"/>
        <d v="2020-10-14T00:00:00"/>
        <d v="2020-10-15T00:00:00"/>
        <d v="2020-10-16T00:00:00"/>
        <d v="2020-10-19T00:00:00"/>
        <d v="2020-10-20T00:00:00"/>
        <d v="2020-10-21T00:00:00"/>
        <d v="2020-10-23T00:00:00"/>
        <d v="2020-10-27T00:00:00"/>
        <d v="2020-10-28T00:00:00"/>
        <d v="2020-10-31T00:00:00"/>
        <d v="2020-11-02T00:00:00"/>
        <d v="2020-11-09T00:00:00"/>
        <d v="2020-11-10T00:00:00"/>
        <d v="2020-11-11T00:00:00"/>
        <d v="2020-11-12T00:00:00"/>
        <d v="2020-11-13T00:00:00"/>
        <d v="2020-11-14T00:00:00"/>
        <d v="2020-11-15T00:00:00"/>
        <d v="2020-11-16T00:00:00"/>
        <d v="2020-11-17T00:00:00"/>
        <d v="2020-11-19T00:00:00"/>
        <d v="2020-11-20T00:00:00"/>
        <d v="2020-11-24T00:00:00"/>
        <d v="2020-11-26T00:00:00"/>
        <d v="2020-11-27T00:00:00"/>
        <d v="2020-11-30T00:00:00"/>
        <d v="2020-12-01T00:00:00"/>
        <d v="2020-12-02T00:00:00"/>
        <d v="2020-12-04T00:00:00"/>
        <d v="2020-12-05T00:00:00"/>
        <d v="2020-12-06T00:00:00"/>
        <d v="2020-12-07T00:00:00"/>
        <d v="2020-12-08T00:00:00"/>
        <d v="2020-12-09T00:00:00"/>
        <d v="2020-12-10T00:00:00"/>
        <d v="2020-12-11T00:00:00"/>
        <d v="2020-12-12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5T00:00:00"/>
        <d v="2021-01-06T00:00:00"/>
        <d v="2021-01-07T00:00:00"/>
        <d v="2021-01-09T00:00:00"/>
        <d v="2021-01-13T00:00:00"/>
        <d v="2021-01-14T00:00:00"/>
        <d v="2021-01-15T00:00:00"/>
        <d v="2021-01-16T00:00:00"/>
        <d v="2021-01-17T00:00:00"/>
        <d v="2021-01-18T00:00:00"/>
        <d v="2021-01-19T00:00:00"/>
        <d v="2021-01-23T00:00:00"/>
        <d v="2021-01-26T00:00:00"/>
        <d v="2021-01-27T00:00:00"/>
        <d v="2021-01-28T00:00:00"/>
        <d v="2021-01-29T00:00:00"/>
        <d v="2021-01-30T00:00:00"/>
        <d v="2021-02-01T00:00:00"/>
        <d v="2021-02-02T00:00:00"/>
        <d v="2021-02-03T00:00:00"/>
        <d v="2021-02-05T00:00:00"/>
        <d v="2021-02-08T00:00:00"/>
        <d v="2021-02-09T00:00:00"/>
        <d v="2021-02-10T00:00:00"/>
        <d v="2021-02-11T00:00:00"/>
        <d v="2021-02-12T00:00:00"/>
        <d v="2021-02-16T00:00:00"/>
        <d v="2021-02-18T00:00:00"/>
        <d v="2021-02-19T00:00:00"/>
        <d v="2021-02-20T00:00:00"/>
        <d v="2021-02-21T00:00:00"/>
        <d v="2021-02-22T00:00:00"/>
        <d v="2021-02-23T00:00:00"/>
        <d v="2021-02-24T00:00:00"/>
        <d v="2021-02-25T00:00:00"/>
        <d v="2021-02-26T00:00:00"/>
        <d v="2021-02-27T00:00:00"/>
        <d v="2021-02-28T00:00:00"/>
        <d v="2021-03-01T00:00:00"/>
        <d v="2021-03-02T00:00:00"/>
        <d v="2021-03-04T00:00:00"/>
        <d v="2021-03-10T00:00:00"/>
        <d v="2021-03-11T00:00:00"/>
        <d v="2021-03-12T00:00:00"/>
        <d v="2021-03-13T00:00:00"/>
        <d v="2021-03-15T00:00:00"/>
        <d v="2021-03-16T00:00:00"/>
        <d v="2021-03-17T00:00:00"/>
        <d v="2021-03-18T00:00:00"/>
        <d v="2021-03-22T00:00:00"/>
        <d v="2021-03-24T00:00:00"/>
        <d v="2021-03-26T00:00:00"/>
        <d v="2021-03-27T00:00:00"/>
        <d v="2021-03-29T00:00:00"/>
        <d v="2021-03-30T00:00:00"/>
        <d v="2021-03-31T00:00:00"/>
        <d v="2021-04-01T00:00:00"/>
        <d v="2021-04-02T00:00:00"/>
        <d v="2021-04-03T00:00:00"/>
        <d v="2021-04-04T00:00:00"/>
        <d v="2021-04-05T00:00:00"/>
        <d v="2021-04-06T00:00:00"/>
        <d v="2021-04-07T00:00:00"/>
        <d v="2021-04-08T00:00:00"/>
        <d v="2021-04-09T00:00:00"/>
        <d v="2021-04-10T00:00:00"/>
        <d v="2021-04-12T00:00:00"/>
        <d v="2021-04-14T00:00:00"/>
        <d v="2021-04-16T00:00:00"/>
        <d v="2021-04-17T00:00:00"/>
        <d v="2021-04-18T00:00:00"/>
        <d v="2021-04-19T00:00:00"/>
        <d v="2021-04-20T00:00:00"/>
        <d v="2021-04-21T00:00:00"/>
        <d v="2021-04-23T00:00:00"/>
        <d v="2021-04-26T00:00:00"/>
        <d v="2021-04-27T00:00:00"/>
        <d v="2021-04-28T00:00:00"/>
        <d v="2021-04-29T00:00:00"/>
        <d v="2021-04-30T00:00:00"/>
        <d v="2021-05-03T00:00:00"/>
        <d v="2021-05-05T00:00:00"/>
        <d v="2021-05-06T00:00:00"/>
        <d v="2021-05-07T00:00:00"/>
        <d v="2021-05-10T00:00:00"/>
        <d v="2021-05-11T00:00:00"/>
        <d v="2021-05-17T00:00:00"/>
        <d v="2021-05-18T00:00:00"/>
        <d v="2021-05-19T00:00:00"/>
        <d v="2021-05-20T00:00:00"/>
        <d v="2021-05-23T00:00:00"/>
        <d v="2021-05-24T00:00:00"/>
        <d v="2021-05-25T00:00:00"/>
        <d v="2021-05-26T00:00:00"/>
        <d v="2021-05-27T00:00:00"/>
        <d v="2021-05-29T00:00:00"/>
        <d v="2021-05-31T00:00:00"/>
        <d v="2021-06-04T00:00:00"/>
        <d v="2021-06-09T00:00:00"/>
        <d v="2021-06-12T00:00:00"/>
        <d v="2021-06-13T00:00:00"/>
        <d v="2021-06-14T00:00:00"/>
        <d v="2021-06-16T00:00:00"/>
        <d v="2021-06-17T00:00:00"/>
        <d v="2021-06-19T00:00:00"/>
        <d v="2021-06-21T00:00:00"/>
        <d v="2021-06-22T00:00:00"/>
        <d v="2021-06-23T00:00:00"/>
        <d v="2021-06-24T00:00:00"/>
        <d v="2021-06-25T00:00:00"/>
        <d v="2021-06-30T00:00:00"/>
        <d v="2021-07-05T00:00:00"/>
        <d v="2021-07-06T00:00:00"/>
        <d v="2021-07-07T00:00:00"/>
        <d v="2021-07-09T00:00:00"/>
        <d v="2021-07-10T00:00:00"/>
        <d v="2021-07-12T00:00:00"/>
        <d v="2021-07-13T00:00:00"/>
        <d v="2021-07-15T00:00:00"/>
        <d v="2021-07-16T00:00:00"/>
        <d v="2021-07-17T00:00:00"/>
        <d v="2021-07-26T00:00:00"/>
        <d v="2021-07-27T00:00:00"/>
        <d v="2021-07-28T00:00:00"/>
        <d v="2021-07-29T00:00:00"/>
        <d v="2021-07-30T00:00:00"/>
        <d v="2021-07-31T00:00:00"/>
        <d v="2021-08-02T00:00:00"/>
        <d v="2021-08-03T00:00:00"/>
        <d v="2021-08-04T00:00:00"/>
        <d v="2021-08-06T00:00:00"/>
        <d v="2021-08-07T00:00:00"/>
        <d v="2021-08-09T00:00:00"/>
        <d v="2021-08-13T00:00:00"/>
        <d v="2021-08-16T00:00:00"/>
        <d v="2021-08-23T00:00:00"/>
        <d v="2021-08-27T00:00:00"/>
        <d v="2021-08-31T00:00:00"/>
        <d v="2021-09-01T00:00:00"/>
        <d v="2021-09-02T00:00:00"/>
        <d v="2021-09-03T00:00:00"/>
        <d v="2021-09-04T00:00:00"/>
        <d v="2021-09-06T00:00:00"/>
        <d v="2021-09-08T00:00:00"/>
        <d v="2021-09-09T00:00:00"/>
        <d v="2021-09-12T00:00:00"/>
        <d v="2021-09-13T00:00:00"/>
        <d v="2021-09-14T00:00:00"/>
        <d v="2021-09-15T00:00:00"/>
        <d v="2021-09-16T00:00:00"/>
        <d v="2021-09-17T00:00:00"/>
        <d v="2021-09-18T00:00:00"/>
        <d v="2021-09-20T00:00:00"/>
        <d v="2021-09-21T00:00:00"/>
        <d v="2021-09-22T00:00:00"/>
        <d v="2021-09-24T00:00:00"/>
        <d v="2021-09-25T00:00:00"/>
        <d v="2021-09-26T00:00:00"/>
        <d v="2021-09-27T00:00:00"/>
        <d v="2021-09-28T00:00:00"/>
        <d v="2021-09-30T00:00:00"/>
        <d v="2021-10-01T00:00:00"/>
        <d v="2021-10-04T00:00:00"/>
        <d v="2021-10-05T00:00:00"/>
        <d v="2021-10-06T00:00:00"/>
        <d v="2021-10-07T00:00:00"/>
        <d v="2021-10-08T00:00:00"/>
        <d v="2021-10-09T00:00:00"/>
        <d v="2021-10-11T00:00:00"/>
        <d v="2021-10-12T00:00:00"/>
        <d v="2021-10-15T00:00:00"/>
        <d v="2021-10-21T00:00:00"/>
        <d v="2021-10-22T00:00:00"/>
        <d v="2021-10-24T00:00:00"/>
        <d v="2021-10-25T00:00:00"/>
        <d v="2021-10-26T00:00:00"/>
        <d v="2021-10-27T00:00:00"/>
        <d v="2021-10-28T00:00:00"/>
        <d v="2021-10-30T00:00:00"/>
        <d v="2021-10-31T00:00:00"/>
        <d v="2021-11-01T00:00:00"/>
        <d v="2021-11-02T00:00:00"/>
        <d v="2021-11-03T00:00:00"/>
        <d v="2021-11-08T00:00:00"/>
        <d v="2021-11-09T00:00:00"/>
        <d v="2021-11-11T00:00:00"/>
        <d v="2021-11-12T00:00:00"/>
        <d v="2021-11-15T00:00:00"/>
        <d v="2021-11-17T00:00:00"/>
        <d v="2021-11-18T00:00:00"/>
        <d v="2021-11-20T00:00:00"/>
        <d v="2021-11-22T00:00:00"/>
        <d v="2021-11-24T00:00:00"/>
        <d v="2021-11-25T00:00:00"/>
        <d v="2021-11-26T00:00:00"/>
        <d v="2021-11-27T00:00:00"/>
        <d v="2021-11-30T00:00:00"/>
        <d v="2021-12-02T00:00:00"/>
        <d v="2021-12-03T00:00:00"/>
        <d v="2021-12-04T00:00:00"/>
        <d v="2021-12-05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2T00:00:00"/>
        <d v="2021-12-23T00:00:00"/>
        <d v="2021-12-24T00:00:00"/>
        <d v="2021-12-26T00:00:00"/>
        <d v="2021-12-28T00:00:00"/>
        <d v="2022-01-01T00:00:00"/>
        <d v="2022-01-03T00:00:00"/>
        <d v="2022-01-05T00:00:00"/>
        <d v="2022-01-07T00:00:00"/>
        <d v="2022-01-08T00:00:00"/>
        <d v="2022-01-09T00:00:00"/>
        <d v="2022-01-11T00:00:00"/>
        <d v="2022-01-13T00:00:00"/>
        <d v="2022-01-14T00:00:00"/>
        <d v="2022-01-17T00:00:00"/>
        <d v="2022-01-18T00:00:00"/>
        <d v="2022-01-20T00:00:00"/>
        <d v="2022-01-21T00:00:00"/>
        <d v="2022-01-24T00:00:00"/>
        <d v="2022-01-25T00:00:00"/>
        <d v="2022-01-26T00:00:00"/>
        <d v="2022-01-30T00:00:00"/>
        <d v="2022-02-01T00:00:00"/>
        <d v="2022-02-02T00:00:00"/>
        <d v="2022-02-03T00:00:00"/>
        <d v="2022-02-04T00:00:00"/>
        <d v="2022-02-05T00:00:00"/>
        <d v="2022-02-08T00:00:00"/>
        <d v="2022-02-09T00:00:00"/>
        <d v="2022-02-10T00:00:00"/>
        <d v="2022-02-11T00:00:00"/>
        <d v="2022-02-12T00:00:00"/>
        <d v="2022-02-16T00:00:00"/>
        <d v="2022-02-17T00:00:00"/>
        <d v="2022-02-19T00:00:00"/>
        <d v="2022-02-20T00:00:00"/>
        <d v="2022-02-21T00:00:00"/>
        <d v="2022-02-22T00:00:00"/>
        <d v="2022-02-28T00:00:00"/>
        <d v="2022-03-01T00:00:00"/>
        <d v="2022-03-02T00:00:00"/>
        <d v="2022-03-03T00:00:00"/>
        <d v="2022-03-04T00:00:00"/>
        <d v="2022-03-05T00:00:00"/>
        <d v="2022-03-06T00:00:00"/>
        <d v="2022-03-08T00:00:00"/>
        <d v="2022-03-10T00:00:00"/>
        <d v="2022-03-12T00:00:00"/>
        <d v="2022-03-14T00:00:00"/>
        <d v="2022-03-15T00:00:00"/>
        <d v="2022-03-17T00:00:00"/>
        <d v="2022-03-18T00:00:00"/>
        <d v="2022-03-19T00:00:00"/>
        <d v="2022-03-20T00:00:00"/>
        <d v="2022-03-21T00:00:00"/>
        <d v="2022-03-22T00:00:00"/>
        <d v="2022-03-24T00:00:00"/>
        <d v="2022-03-25T00:00:00"/>
        <d v="2022-03-26T00:00:00"/>
        <d v="2022-03-28T00:00:00"/>
        <d v="2022-04-01T00:00:00"/>
        <d v="2022-04-02T00:00:00"/>
        <d v="2022-04-04T00:00:00"/>
        <d v="2022-04-06T00:00:00"/>
        <d v="2022-04-07T00:00:00"/>
        <d v="2022-04-12T00:00:00"/>
        <d v="2022-04-16T00:00:00"/>
        <d v="2022-04-18T00:00:00"/>
        <d v="2022-04-22T00:00:00"/>
        <d v="2022-04-23T00:00:00"/>
        <d v="2022-04-24T00:00:00"/>
        <d v="2022-04-26T00:00:00"/>
        <d v="2022-04-27T00:00:00"/>
        <d v="2022-04-30T00:00:00"/>
        <d v="2022-05-01T00:00:00"/>
        <d v="2022-05-02T00:00:00"/>
        <d v="2022-05-05T00:00:00"/>
        <d v="2022-05-10T00:00:00"/>
        <d v="2022-05-13T00:00:00"/>
        <d v="2022-05-14T00:00:00"/>
        <d v="2022-05-15T00:00:00"/>
        <d v="2022-05-16T00:00:00"/>
        <d v="2022-05-18T00:00:00"/>
        <d v="2022-05-20T00:00:00"/>
        <d v="2022-05-21T00:00:00"/>
        <d v="2022-05-23T00:00:00"/>
        <d v="2022-05-24T00:00:00"/>
        <d v="2022-05-26T00:00:00"/>
        <d v="2022-05-28T00:00:00"/>
        <d v="2022-06-01T00:00:00"/>
        <d v="2022-06-03T00:00:00"/>
        <d v="2022-06-04T00:00:00"/>
        <d v="2022-06-05T00:00:00"/>
        <d v="2022-06-06T00:00:00"/>
        <d v="2022-06-07T00:00:00"/>
        <d v="2022-06-10T00:00:00"/>
        <d v="2022-06-13T00:00:00"/>
        <d v="2022-06-16T00:00:00"/>
        <d v="2022-06-17T00:00:00"/>
        <d v="2022-06-18T00:00:00"/>
        <d v="2022-06-20T00:00:00"/>
        <d v="2022-06-21T00:00:00"/>
        <d v="2022-11-28T00:00:00"/>
        <d v="2023-01-07T00:00:00"/>
        <d v="2023-01-09T00:00:00"/>
        <d v="2023-01-10T00:00:00"/>
        <d v="2023-01-12T00:00:00"/>
        <d v="2023-01-18T00:00:00"/>
        <d v="2023-01-23T00:00:00"/>
        <d v="2023-01-24T00:00:00"/>
        <d v="2023-02-04T00:00:00"/>
        <d v="2023-02-06T00:00:00"/>
        <d v="2023-02-07T00:00:00"/>
        <d v="2023-02-08T00:00:00"/>
        <d v="2023-02-09T00:00:00"/>
        <d v="2023-02-15T00:00:00"/>
        <d v="2023-02-17T00:00:00"/>
        <d v="2023-02-21T00:00:00"/>
        <d v="2023-02-22T00:00:00"/>
        <d v="2023-03-01T00:00:00"/>
        <d v="2023-03-02T00:00:00"/>
        <d v="2023-03-03T00:00:00"/>
        <d v="2023-03-04T00:00:00"/>
        <d v="2023-03-06T00:00:00"/>
        <d v="2023-03-11T00:00:00"/>
        <d v="2023-03-15T00:00:00"/>
        <d v="2023-03-18T00:00:00"/>
        <d v="2023-03-19T00:00:00"/>
        <d v="2023-03-21T00:00:00"/>
        <d v="2023-03-22T00:00:00"/>
        <d v="2023-03-23T00:00:00"/>
        <d v="2023-03-25T00:00:00"/>
        <d v="2023-03-27T00:00:00"/>
        <d v="2023-03-29T00:00:00"/>
        <d v="2023-04-01T00:00:00"/>
        <d v="2023-04-02T00:00:00"/>
        <d v="2023-04-03T00:00:00"/>
        <d v="2023-04-04T00:00:00"/>
        <d v="2023-04-06T00:00:00"/>
        <d v="2023-04-07T00:00:00"/>
        <d v="2023-04-12T00:00:00"/>
        <d v="2023-04-15T00:00:00"/>
        <d v="2023-04-18T00:00:00"/>
        <d v="2023-04-25T00:00:00"/>
        <d v="2023-04-26T00:00:00"/>
        <d v="2023-04-29T00:00:00"/>
        <d v="2023-05-01T00:00:00"/>
        <d v="2023-05-02T00:00:00"/>
        <d v="2023-05-03T00:00:00"/>
        <d v="2023-05-04T00:00:00"/>
        <d v="2023-05-06T00:00:00"/>
        <d v="2023-05-08T00:00:00"/>
        <d v="2023-05-09T00:00:00"/>
        <d v="2023-05-11T00:00:00"/>
        <d v="2023-05-12T00:00:00"/>
        <d v="2023-05-15T00:00:00"/>
        <d v="2023-05-18T00:00:00"/>
        <d v="2023-05-19T00:00:00"/>
        <d v="2023-05-20T00:00:00"/>
        <d v="2023-05-22T00:00:00"/>
        <d v="2023-05-23T00:00:00"/>
        <d v="2023-05-25T00:00:00"/>
        <d v="2023-05-27T00:00:00"/>
        <d v="2023-05-28T00:00:00"/>
        <d v="2023-05-30T00:00:00"/>
        <d v="2023-06-03T00:00:00"/>
        <d v="2023-06-04T00:00:00"/>
        <d v="2023-06-05T00:00:00"/>
        <d v="2023-06-06T00:00:00"/>
        <d v="2023-06-07T00:00:00"/>
        <d v="2023-06-08T00:00:00"/>
        <d v="2023-06-09T00:00:00"/>
        <d v="2023-06-10T00:00:00"/>
        <d v="2023-06-17T00:00:00"/>
        <d v="2023-06-18T00:00:00"/>
        <d v="2023-06-21T00:00:00"/>
        <d v="2023-06-22T00:00:00"/>
        <d v="2023-06-23T00:00:00"/>
        <d v="2023-07-05T00:00:00"/>
        <d v="2023-07-06T00:00:00"/>
        <d v="2023-07-10T00:00:00"/>
        <d v="2023-07-12T00:00:00"/>
        <d v="2023-07-13T00:00:00"/>
        <d v="2023-07-15T00:00:00"/>
        <d v="2023-07-17T00:00:00"/>
        <d v="2023-07-18T00:00:00"/>
        <d v="2023-07-20T00:00:00"/>
        <d v="2023-07-24T00:00:00"/>
        <d v="2023-07-25T00:00:00"/>
        <d v="2023-07-27T00:00:00"/>
        <d v="2023-07-28T00:00:00"/>
        <d v="2023-07-29T00:00:00"/>
        <d v="2023-08-01T00:00:00"/>
        <d v="2023-08-02T00:00:00"/>
        <d v="2023-08-03T00:00:00"/>
        <d v="2023-08-06T00:00:00"/>
        <d v="2023-08-08T00:00:00"/>
        <d v="2023-08-10T00:00:00"/>
        <d v="2023-08-11T00:00:00"/>
        <d v="2023-08-15T00:00:00"/>
        <d v="2023-08-22T00:00:00"/>
        <d v="2023-08-23T00:00:00"/>
        <d v="2023-08-25T00:00:00"/>
        <d v="2023-08-29T00:00:00"/>
        <d v="2023-09-01T00:00:00"/>
        <d v="2023-09-03T00:00:00"/>
        <d v="2023-09-05T00:00:00"/>
        <d v="2023-09-12T00:00:00"/>
        <d v="2023-09-18T00:00:00"/>
        <d v="2023-09-22T00:00:00"/>
        <d v="2023-09-26T00:00:00"/>
        <d v="2023-10-01T00:00:00"/>
        <d v="2023-10-02T00:00:00"/>
        <d v="2023-10-04T00:00:00"/>
        <d v="2023-10-05T00:00:00"/>
        <d v="2023-10-06T00:00:00"/>
        <d v="2023-10-10T00:00:00"/>
        <d v="2023-10-11T00:00:00"/>
        <d v="2023-10-12T00:00:00"/>
        <d v="2023-10-15T00:00:00"/>
        <d v="2023-10-16T00:00:00"/>
        <d v="2023-10-26T00:00:00"/>
        <d v="2023-10-27T00:00:00"/>
        <d v="2023-11-01T00:00:00"/>
        <d v="2023-11-02T00:00:00"/>
        <d v="2023-11-03T00:00:00"/>
        <d v="2023-11-07T00:00:00"/>
        <d v="2023-11-11T00:00:00"/>
        <d v="2023-11-15T00:00:00"/>
        <d v="2023-11-16T00:00:00"/>
        <d v="2023-11-20T00:00:00"/>
        <d v="2023-11-21T00:00:00"/>
        <d v="2023-11-22T00:00:00"/>
        <d v="2023-11-27T00:00:00"/>
        <d v="2023-11-29T00:00:00"/>
        <d v="2023-12-02T00:00:00"/>
        <d v="2023-12-05T00:00:00"/>
        <d v="2023-12-14T00:00:00"/>
        <d v="2023-12-18T00:00:00"/>
        <d v="2023-12-20T00:00:00"/>
        <d v="2023-12-27T00:00:00"/>
        <d v="2023-12-28T00:00:00"/>
        <d v="2024-01-01T00:00:00"/>
        <d v="2024-01-02T00:00:00"/>
        <d v="2024-01-03T00:00:00"/>
        <d v="2024-01-04T00:00:00"/>
        <d v="2024-01-06T00:00:00"/>
        <d v="2024-01-08T00:00:00"/>
        <d v="2024-01-10T00:00:00"/>
        <d v="2024-01-14T00:00:00"/>
        <d v="2024-01-15T00:00:00"/>
        <d v="2024-01-17T00:00:00"/>
        <d v="2024-01-18T00:00:00"/>
        <d v="2024-01-22T00:00:00"/>
        <d v="2024-01-23T00:00:00"/>
        <d v="2024-01-24T00:00:00"/>
        <d v="2024-01-25T00:00:00"/>
        <d v="2024-01-26T00:00:00"/>
        <d v="2024-01-27T00:00:00"/>
        <d v="2024-01-30T00:00:00"/>
        <d v="2024-01-31T00:00:00"/>
        <d v="2024-02-01T00:00:00"/>
        <d v="2024-02-02T00:00:00"/>
        <d v="2024-02-03T00:00:00"/>
        <d v="2024-02-05T00:00:00"/>
        <d v="2024-02-07T00:00:00"/>
        <d v="2024-02-08T00:00:00"/>
        <d v="2024-02-10T00:00:00"/>
        <d v="2024-02-12T00:00:00"/>
        <d v="2024-02-14T00:00:00"/>
        <d v="2024-02-17T00:00:00"/>
        <d v="2024-02-20T00:00:00"/>
        <d v="2024-02-21T00:00:00"/>
        <s v="22/02//2024"/>
        <d v="2024-02-23T00:00:00"/>
        <d v="2024-02-24T00:00:00"/>
        <d v="2024-02-26T00:00:00"/>
        <d v="2024-03-01T00:00:00"/>
        <d v="2024-03-05T00:00:00"/>
        <d v="2024-03-08T00:00:00"/>
        <d v="2024-03-12T00:00:00"/>
        <d v="2024-03-13T00:00:00"/>
        <d v="2024-03-15T00:00:00"/>
        <d v="2024-03-18T00:00:00"/>
        <d v="2024-03-19T00:00:00"/>
        <d v="2024-03-21T00:00:00"/>
        <d v="2024-03-23T00:00:00"/>
        <d v="2024-03-25T00:00:00"/>
        <d v="2024-03-26T00:00:00"/>
        <d v="2024-03-27T00:00:00"/>
        <d v="2024-03-28T00:00:00"/>
        <d v="2024-04-01T00:00:00"/>
        <d v="2024-04-02T00:00:00"/>
        <d v="2024-04-03T00:00:00"/>
        <d v="2024-04-04T00:00:00"/>
        <d v="2024-04-05T00:00:00"/>
        <d v="2024-04-17T00:00:00"/>
        <d v="2024-04-19T00:00:00"/>
        <d v="2024-04-20T00:00:00"/>
        <d v="2024-04-22T00:00:00"/>
        <d v="2024-04-23T00:00:00"/>
        <d v="2024-04-24T00:00:00"/>
        <d v="2024-04-25T00:00:00"/>
        <d v="2024-04-27T00:00:00"/>
        <d v="2024-05-01T00:00:00"/>
        <d v="2024-05-02T00:00:00"/>
        <d v="2024-05-03T00:00:00"/>
        <d v="2024-05-06T00:00:00"/>
        <d v="2024-05-07T00:00:00"/>
        <d v="2024-05-08T00:00:00"/>
        <d v="2024-05-13T00:00:00"/>
        <d v="2024-05-14T00:00:00"/>
        <d v="2024-05-16T00:00:00"/>
        <d v="2024-05-18T00:00:00"/>
        <d v="2024-05-22T00:00:00"/>
        <d v="2024-05-25T00:00:00"/>
        <d v="2024-05-27T00:00:00"/>
        <d v="2024-05-31T00:00:00"/>
        <d v="2024-06-05T00:00:00"/>
        <d v="2024-06-07T00:00:00"/>
        <d v="2024-06-08T00:00:00"/>
        <d v="2024-06-11T00:00:00"/>
        <d v="2024-06-14T00:00:00"/>
        <d v="2024-06-15T00:00:00"/>
        <d v="2024-06-24T00:00:00"/>
        <d v="2024-06-27T00:00:00"/>
        <d v="2024-07-03T00:00:00"/>
        <d v="2024-07-08T00:00:00"/>
        <d v="2024-07-14T00:00:00"/>
        <d v="2024-07-15T00:00:00"/>
        <d v="2024-07-17T00:00:00"/>
        <d v="2024-07-19T00:00:00"/>
        <d v="2024-07-21T00:00:00"/>
        <d v="2024-07-23T00:00:00"/>
        <d v="2024-07-24T00:00:00"/>
        <d v="2024-08-01T00:00:00"/>
        <d v="2024-08-02T00:00:00"/>
        <d v="2024-08-03T00:00:00"/>
        <d v="2024-08-08T00:00:00"/>
        <d v="2024-08-13T00:00:00"/>
        <d v="2019-02-04T00:00:00" u="1"/>
        <d v="2019-02-06T00:00:00" u="1"/>
        <d v="2019-03-02T00:00:00" u="1"/>
        <d v="2019-02-08T00:00:00" u="1"/>
        <d v="2019-03-04T00:00:00" u="1"/>
        <d v="2019-03-06T00:00:00" u="1"/>
        <d v="2019-04-02T00:00:00" u="1"/>
        <d v="2019-02-12T00:00:00" u="1"/>
        <d v="2019-03-08T00:00:00" u="1"/>
        <d v="2019-04-04T00:00:00" u="1"/>
        <d v="2019-02-14T00:00:00" u="1"/>
        <d v="2019-05-02T00:00:00" u="1"/>
        <d v="2019-03-12T00:00:00" u="1"/>
        <d v="2019-04-08T00:00:00" u="1"/>
        <d v="2019-05-04T00:00:00" u="1"/>
        <d v="2019-03-14T00:00:00" u="1"/>
        <d v="2019-04-10T00:00:00" u="1"/>
        <d v="2019-05-06T00:00:00" u="1"/>
        <d v="2019-02-20T00:00:00" u="1"/>
        <d v="2019-03-16T00:00:00" u="1"/>
        <d v="2019-04-12T00:00:00" u="1"/>
        <d v="2019-06-04T00:00:00" u="1"/>
        <d v="2019-03-18T00:00:00" u="1"/>
        <d v="2019-05-10T00:00:00" u="1"/>
        <d v="2019-03-20T00:00:00" u="1"/>
        <d v="2019-07-04T00:00:00" u="1"/>
        <d v="2019-02-26T00:00:00" u="1"/>
        <d v="2019-05-14T00:00:00" u="1"/>
        <d v="2019-06-10T00:00:00" u="1"/>
        <d v="2019-07-06T00:00:00" u="1"/>
        <d v="2019-08-02T00:00:00" u="1"/>
        <d v="2019-05-16T00:00:00" u="1"/>
        <d v="2019-06-12T00:00:00" u="1"/>
        <d v="2019-07-08T00:00:00" u="1"/>
        <d v="2019-08-04T00:00:00" u="1"/>
        <d v="2019-04-22T00:00:00" u="1"/>
        <d v="2019-05-18T00:00:00" u="1"/>
        <d v="2019-06-14T00:00:00" u="1"/>
        <d v="2019-07-10T00:00:00" u="1"/>
        <d v="2019-03-28T00:00:00" u="1"/>
        <d v="2019-04-24T00:00:00" u="1"/>
        <d v="2019-05-20T00:00:00" u="1"/>
        <d v="2019-06-16T00:00:00" u="1"/>
        <d v="2019-07-12T00:00:00" u="1"/>
        <d v="2019-04-26T00:00:00" u="1"/>
        <d v="2019-05-22T00:00:00" u="1"/>
        <d v="2019-06-18T00:00:00" u="1"/>
        <d v="2019-07-14T00:00:00" u="1"/>
        <d v="2019-09-06T00:00:00" u="1"/>
        <d v="2019-10-02T00:00:00" u="1"/>
        <d v="2019-06-20T00:00:00" u="1"/>
        <d v="2019-07-16T00:00:00" u="1"/>
        <d v="2019-06-22T00:00:00" u="1"/>
        <d v="2019-07-18T00:00:00" u="1"/>
        <d v="2019-09-10T00:00:00" u="1"/>
        <d v="2019-05-28T00:00:00" u="1"/>
        <d v="2019-07-20T00:00:00" u="1"/>
        <d v="2019-09-12T00:00:00" u="1"/>
        <d v="2019-05-30T00:00:00" u="1"/>
        <d v="2019-06-26T00:00:00" u="1"/>
        <d v="2019-07-22T00:00:00" u="1"/>
        <d v="2019-09-14T00:00:00" u="1"/>
        <d v="2019-06-28T00:00:00" u="1"/>
        <d v="2019-07-24T00:00:00" u="1"/>
        <d v="2019-09-16T00:00:00" u="1"/>
        <d v="2019-07-26T00:00:00" u="1"/>
        <d v="2019-08-22T00:00:00" u="1"/>
        <d v="2019-09-18T00:00:00" u="1"/>
        <d v="2019-10-14T00:00:00" u="1"/>
        <d v="2021-11-10T00:00:00" u="1"/>
        <d v="2019-09-20T00:00:00" u="1"/>
        <d v="2019-07-30T00:00:00" u="1"/>
        <d v="2019-08-26T00:00:00" u="1"/>
        <d v="2019-10-18T00:00:00" u="1"/>
        <d v="2019-09-24T00:00:00" u="1"/>
        <d v="2019-09-28T00:00:00" u="1"/>
        <d v="2019-09-30T00:00:00" u="1"/>
        <d v="2019-02-01T00:00:00" u="1"/>
        <d v="2019-02-05T00:00:00" u="1"/>
        <d v="2019-03-01T00:00:00" u="1"/>
        <d v="2019-02-07T00:00:00" u="1"/>
        <d v="2019-02-09T00:00:00" u="1"/>
        <d v="2019-04-01T00:00:00" u="1"/>
        <d v="2019-02-11T00:00:00" u="1"/>
        <d v="2019-03-07T00:00:00" u="1"/>
        <d v="2019-02-13T00:00:00" u="1"/>
        <d v="2019-05-01T00:00:00" u="1"/>
        <d v="2019-03-11T00:00:00" u="1"/>
        <d v="2019-05-03T00:00:00" u="1"/>
        <d v="2019-03-13T00:00:00" u="1"/>
        <d v="2019-04-09T00:00:00" u="1"/>
        <d v="2019-06-01T00:00:00" u="1"/>
        <d v="2019-03-15T00:00:00" u="1"/>
        <d v="2019-04-11T00:00:00" u="1"/>
        <d v="2019-05-07T00:00:00" u="1"/>
        <d v="2019-06-03T00:00:00" u="1"/>
        <d v="2019-04-13T00:00:00" u="1"/>
        <d v="2019-07-01T00:00:00" u="1"/>
        <d v="2002-05-11T00:00:00" u="1"/>
        <d v="2019-02-23T00:00:00" u="1"/>
        <d v="2019-03-19T00:00:00" u="1"/>
        <d v="2019-04-15T00:00:00" u="1"/>
        <d v="2019-05-11T00:00:00" u="1"/>
        <d v="2019-07-03T00:00:00" u="1"/>
        <d v="2019-02-25T00:00:00" u="1"/>
        <d v="2019-04-17T00:00:00" u="1"/>
        <d v="2019-05-13T00:00:00" u="1"/>
        <d v="2019-08-01T00:00:00" u="1"/>
        <d v="2019-01-31T00:00:00" u="1"/>
        <d v="2019-02-27T00:00:00" u="1"/>
        <d v="2019-03-23T00:00:00" u="1"/>
        <d v="2019-04-19T00:00:00" u="1"/>
        <d v="2019-05-15T00:00:00" u="1"/>
        <d v="2019-06-11T00:00:00" u="1"/>
        <d v="2019-08-03T00:00:00" u="1"/>
        <d v="2019-05-17T00:00:00" u="1"/>
        <d v="2019-06-13T00:00:00" u="1"/>
        <d v="2019-07-09T00:00:00" u="1"/>
        <d v="2019-06-15T00:00:00" u="1"/>
        <d v="2019-07-11T00:00:00" u="1"/>
        <d v="2019-08-07T00:00:00" u="1"/>
        <d v="2019-09-03T00:00:00" u="1"/>
        <d v="2019-05-21T00:00:00" u="1"/>
        <d v="2019-06-17T00:00:00" u="1"/>
        <d v="2019-07-13T00:00:00" u="1"/>
        <d v="2019-08-09T00:00:00" u="1"/>
        <d v="2019-10-01T00:00:00" u="1"/>
        <d v="2019-06-19T00:00:00" u="1"/>
        <d v="2019-07-15T00:00:00" u="1"/>
        <d v="2019-09-07T00:00:00" u="1"/>
        <d v="2019-05-25T00:00:00" u="1"/>
        <d v="2019-06-21T00:00:00" u="1"/>
        <d v="2019-07-17T00:00:00" u="1"/>
        <d v="2019-05-27T00:00:00" u="1"/>
        <d v="2019-07-19T00:00:00" u="1"/>
        <d v="2019-05-29T00:00:00" u="1"/>
        <d v="2019-06-25T00:00:00" u="1"/>
        <d v="2019-09-13T00:00:00" u="1"/>
        <d v="2019-06-27T00:00:00" u="1"/>
        <d v="2019-07-25T00:00:00" u="1"/>
        <d v="2019-09-17T00:00:00" u="1"/>
        <d v="2019-07-27T00:00:00" u="1"/>
        <d v="2019-08-23T00:00:00" u="1"/>
        <d v="2019-09-19T00:00:00" u="1"/>
        <d v="2019-07-29T00:00:00" u="1"/>
        <d v="2019-09-21T00:00:00" u="1"/>
        <d v="2019-10-17T00:00:00" u="1"/>
        <d v="2019-07-31T00:00:00" u="1"/>
        <d v="2019-09-23T00:00:00" u="1"/>
        <d v="2019-09-25T00:00:00" u="1"/>
        <d v="2019-09-27T00:00:00" u="1"/>
      </sharedItems>
    </cacheField>
    <cacheField name="Code" numFmtId="0">
      <sharedItems containsBlank="1" containsMixedTypes="1" containsNumber="1" containsInteger="1" minValue="7" maxValue="486" count="47">
        <n v="417"/>
        <n v="401"/>
        <n v="434"/>
        <n v="481"/>
        <n v="480"/>
        <n v="406"/>
        <n v="482"/>
        <n v="435"/>
        <n v="410"/>
        <n v="479"/>
        <n v="411"/>
        <n v="439"/>
        <n v="438"/>
        <n v="408"/>
        <n v="414"/>
        <n v="429"/>
        <n v="436"/>
        <n v="471"/>
        <n v="409"/>
        <n v="413"/>
        <n v="403"/>
        <n v="428"/>
        <n v="426"/>
        <n v="407"/>
        <n v="433"/>
        <n v="405"/>
        <n v="431"/>
        <n v="432"/>
        <n v="427"/>
        <n v="430"/>
        <m/>
        <n v="7"/>
        <n v="477"/>
        <n v="472"/>
        <n v="422"/>
        <n v="421"/>
        <n v="470"/>
        <n v="445"/>
        <n v="419"/>
        <s v="413B"/>
        <s v="dacia"/>
        <s v="arm"/>
        <n v="420"/>
        <n v="483"/>
        <n v="484"/>
        <n v="485"/>
        <n v="486"/>
      </sharedItems>
    </cacheField>
    <cacheField name="Type" numFmtId="0">
      <sharedItems containsBlank="1" containsMixedTypes="1" containsNumber="1" containsInteger="1" minValue="171" maxValue="171"/>
    </cacheField>
    <cacheField name="Véhicule" numFmtId="0">
      <sharedItems containsBlank="1" containsMixedTypes="1" containsNumber="1" containsInteger="1" minValue="4" maxValue="4" count="30">
        <s v="Berlingo"/>
        <s v="ISUZU"/>
        <s v="Linde H30D"/>
        <s v="VOLVO"/>
        <s v="HYUNDAI H100"/>
        <s v="Mitsubishi"/>
        <s v="MAN"/>
        <s v="Hyundai County"/>
        <s v="Renault"/>
        <s v="Bobcat"/>
        <s v="Fenwick HD30"/>
        <s v="Hyundai County "/>
        <s v="Caterpillar"/>
        <s v="Linde H30"/>
        <s v="Manitou MC 30"/>
        <s v="Manitou M26-2"/>
        <s v="Fenwick  H40"/>
        <s v="dacia khalil"/>
        <s v="Linde H25d"/>
        <s v="Fenwick LINDE 25"/>
        <m/>
        <s v="linde siege"/>
        <n v="4"/>
        <s v=" "/>
        <s v=""/>
        <s v="kangoo"/>
        <e v="#REF!"/>
        <s v="linde"/>
        <s v="linde h 45"/>
        <s v="MI50D"/>
      </sharedItems>
    </cacheField>
    <cacheField name="Matricule" numFmtId="0">
      <sharedItems containsBlank="1" containsMixedTypes="1" containsNumber="1" containsInteger="1" minValue="0" maxValue="0"/>
    </cacheField>
    <cacheField name="N Fiche _x000a_d'intervention" numFmtId="0">
      <sharedItems containsBlank="1" containsMixedTypes="1" containsNumber="1" containsInteger="1" minValue="22180" maxValue="256331" longText="1"/>
    </cacheField>
    <cacheField name="Partie véhicule" numFmtId="0">
      <sharedItems containsBlank="1" count="197">
        <s v="Entretien"/>
        <s v="Roue arriere "/>
        <s v="Système electrique"/>
        <s v="Grue de levage"/>
        <s v="Moteur"/>
        <s v="Accessoire "/>
        <s v="Direction assisté"/>
        <s v="Embrayage "/>
        <s v="Mécanique"/>
        <s v="Pneu"/>
        <s v="suspension"/>
        <s v="Freinage "/>
        <s v="Transmission"/>
        <s v="Contrôle "/>
        <s v="Carosserie"/>
        <s v="Air comprimé"/>
        <s v="pneu "/>
        <s v="Chassis "/>
        <s v="Forche de levage"/>
        <s v="Tachygraphe"/>
        <s v="cravaison pneu "/>
        <s v="fuite d'huile hydraulique "/>
        <s v="signalisation "/>
        <s v="fuite d'air"/>
        <s v="electrique "/>
        <s v="carosserie "/>
        <s v="levage des fourches"/>
        <s v="démarrage "/>
        <s v="fuite d'air "/>
        <s v="accelerateur "/>
        <s v="axe fusée"/>
        <s v="fuite d'eau "/>
        <s v="fuite du gasoil "/>
        <s v="crevaison pneu"/>
        <s v="fuite dd'huile d au niveau de la grue de levage "/>
        <s v="eclairage "/>
        <s v="refroidisement "/>
        <s v="des pneus"/>
        <s v="essieu avant "/>
        <s v="echappement "/>
        <s v="atelier "/>
        <m/>
        <s v="galet de rampe"/>
        <s v="roue avant "/>
        <s v="arrét du moteur "/>
        <s v="huile hydraulique "/>
        <s v="direction"/>
        <s v="grue de levage "/>
        <s v="fuite d'huiel"/>
        <s v="temperature "/>
        <s v="accélérateur "/>
        <s v="charge du battrie "/>
        <s v="affichage des lampes "/>
        <s v="des vitesses "/>
        <s v="Echauffement "/>
        <s v="ai comprimée"/>
        <s v="godet de netoyage "/>
        <s v="essieu arriere "/>
        <s v="fuite d'ehuile "/>
        <s v="peinture "/>
        <s v="des injecteur "/>
        <s v="fixation moteur "/>
        <s v="boite de vitesse "/>
        <s v="charge u battrie "/>
        <s v="vitesse "/>
        <s v="klaxon "/>
        <s v="injection du gazoil"/>
        <s v="demarrage "/>
        <s v="culasse moteur"/>
        <s v="bruit anormale au niveau du moteur thermique "/>
        <s v="refroidissement"/>
        <s v="femeture des portes "/>
        <s v="fuiute d'huile "/>
        <s v="feu du stop"/>
        <s v="tableu de bord "/>
        <s v="fuite du gazoil "/>
        <s v="balayeuse "/>
        <s v="reservoire gazoil"/>
        <s v="probleme electronique "/>
        <s v="panne"/>
        <s v="moteur thermique"/>
        <s v="gaz dechappement "/>
        <s v="frinage "/>
        <s v="bruit au niveu du moteur thermique "/>
        <s v="fixation d'axe du godet "/>
        <s v="bruit au niveau du boite vitesse "/>
        <s v="marche avant arriere"/>
        <s v="réparation crevaison"/>
        <s v="temperature moteur "/>
        <s v="jeu des balai "/>
        <s v="levage des fourches "/>
        <s v="vidage"/>
        <s v="reftroidissement du moteur "/>
        <s v="des pneus "/>
        <s v="fuite d'huile"/>
        <s v="démarrege du mmoteur "/>
        <s v="couple conique "/>
        <s v="pare choc avant "/>
        <s v="roue du plateau"/>
        <s v="fuited'huile"/>
        <s v="fuite d'air adm "/>
        <s v="graissage par huile "/>
        <s v="fixation roue arriere "/>
        <s v="bruit anormale  "/>
        <s v="feu rouge arriere "/>
        <s v="pneus"/>
        <s v="courroie "/>
        <s v="transmission "/>
        <s v="mise a nioveau"/>
        <s v="pont avant"/>
        <s v="chaine de levage "/>
        <s v="camion en panne "/>
        <s v="mélange d'huile avec eau "/>
        <s v="courroie d'acessoires "/>
        <s v="fuite f'huile "/>
        <s v="pont avant "/>
        <s v="fuite d'huie "/>
        <s v="culasse "/>
        <s v="Moyeu de roue "/>
        <s v="tondeur du courroie "/>
        <s v="Echeance Vidange"/>
        <s v="tondeur de chaine "/>
        <s v="fixation roue avant "/>
        <s v="moteu et cabine "/>
        <s v="levier distributeur "/>
        <s v="alternateur de charge battrie "/>
        <s v="arrét moteur "/>
        <s v="plateau"/>
        <s v="garniture de frein "/>
        <s v="balai d'essuie glace "/>
        <s v="fuite d'eahuile "/>
        <s v="levage des fourche "/>
        <s v="démarage "/>
        <s v="feu du stop "/>
        <s v="brosse du balayage "/>
        <s v="démarrage du moteur "/>
        <s v="distribution moteur "/>
        <s v="arrét du moteur"/>
        <s v="roue arriere"/>
        <s v="vitre avant "/>
        <s v="des roulement"/>
        <s v="esuie glace "/>
        <s v="essieu arriére "/>
        <s v="fissure au niveau_x000a_des jantes "/>
        <s v="peinture et dressage "/>
        <s v="injection gasoil "/>
        <s v="fuite  d'hule "/>
        <s v="dierection "/>
        <s v="refroidissement du moteur"/>
        <s v="electronique "/>
        <s v="moteur thermique "/>
        <s v="reservoire du gasoil "/>
        <s v="freinage et embrayage "/>
        <s v="suspention"/>
        <s v="GASOIL "/>
        <s v="suspontion "/>
        <s v="démarrage moteur"/>
        <s v="freinage"/>
        <s v="démarrage"/>
        <s v="graissage du moteur "/>
        <s v="fuite des verin _x000a_"/>
        <s v="refroidissement moteur"/>
        <s v="des fuites d'air "/>
        <s v="fuite dair "/>
        <s v="hydraulique"/>
        <s v="pare brise "/>
        <s v="charge battrie "/>
        <s v="fuite d'huile moteur"/>
        <s v="fuite d'huile "/>
        <s v="monte charge "/>
        <s v="leve glace "/>
        <s v="fuite d'appareille d'airt "/>
        <s v="fuite d'air comprimée "/>
        <s v="fuite d'huile moteur "/>
        <s v="refroidissement "/>
        <s v="prob electrique "/>
        <s v="boite a vitesse "/>
        <s v="courroie d'accessoire "/>
        <s v="reparation du fuite d'air "/>
        <s v="moteur "/>
        <s v="elecrique "/>
        <s v="disque de frein "/>
        <s v="moyeu avant "/>
        <s v="Mecanique "/>
        <s v="Mecanique / Electrique "/>
        <s v="mecanique"/>
        <s v="Autres "/>
        <s v="electrique / mecanique "/>
        <s v="mecanique/electrique "/>
        <s v="electrrique"/>
        <s v="electrique"/>
        <s v="éléctrique" u="1"/>
        <s v="Embrayage" u="1"/>
        <s v="Susponsion" u="1"/>
        <s v="fuite d'eau" u="1"/>
        <s v="enretien" u="1"/>
        <s v="carburant" u="1"/>
      </sharedItems>
    </cacheField>
    <cacheField name="Réclamation / problème" numFmtId="0">
      <sharedItems containsBlank="1"/>
    </cacheField>
    <cacheField name="Type d'intervention" numFmtId="0">
      <sharedItems containsBlank="1"/>
    </cacheField>
    <cacheField name="Détail Intervention" numFmtId="0">
      <sharedItems containsBlank="1" containsMixedTypes="1" containsNumber="1" containsInteger="1" minValue="25200" maxValue="25200" count="1166" longText="1">
        <s v="vidange d'huile moteur 15W40 et changement filtre et filtre a huile a gasoil et filtre a air_x000a_255314 km"/>
        <s v="changement du trampette d'essieu arriere complet a cause _x000a_d'endommagement du cote roullement  coté gauche ( achat du laferaille )"/>
        <s v="réparation du tondeur du courroie et_x000a_ changement de courroie de d'alternateur"/>
        <s v="changement d'elingue de levage des palettes"/>
        <s v="changement du support de ventilateur de refroidissemen _x000a_moteur avec roullement ref 58554"/>
        <s v="equippement d'engin par galet de securité et plaque d'en panne"/>
        <s v="vidange d'huile moteur 15W40  341057 km "/>
        <s v="changement du gilet de securité"/>
        <s v="changement d'eixtincteur "/>
        <s v="réparation d'eclairage et changemet des lampes "/>
        <s v="réparation du probleme de direction assisté"/>
        <s v="réparation et réglage du jeu d'embrayage _x000a_purge du circuit d'huile"/>
        <s v="changement du brosse de netoyage _x000a_changement battrie de démarrage + courroie de ventulateur +vidange d'huile moteur et changeent du filtre a huile + gasoil+ hydraulique _x000a_répartion et soudage du goudet de netoyage "/>
        <s v="réparation du probléme de démarrage "/>
        <s v="réparation du probleme de démarrage du moteur et changement des filtres et _x000a_netoyage du reservoire de gasoil"/>
        <s v="changement du kit d'embrayage complet (disque ,plateau et butée )_x000a_changement du support cardon _x000a_changement du pompe d'embrayege inferieur_x000a_vidange d'huile moteur et pontarriere et boite de vitesse _x000a_576773 km"/>
        <s v="mise a niveau d'huile hydraulique"/>
        <s v="changement des quatre pneus ref 12R22,5"/>
        <s v="réparation du probleme d'eclairage "/>
        <s v="changement du bouchon de gasoil "/>
        <s v="vidange d'huile moteur et changement di filtre  a huile et gasoil _x000a_lavage et graissage generale d'engin  _x000a_réparation du fuuite d'air comprimé_x000a_lavage et graissage generale d'engin "/>
        <s v="réparation du probleme de mache avant arriere_x000a_mise a niveau d'huile hydraulique"/>
        <s v="réparation des element de susponsion "/>
        <s v="changement du kit réparation d'axe fusee"/>
        <s v="montage des auto coulant"/>
        <s v="changement du came de réglage frein cote arriere droit du tracteur et _x000a_optique avant droit"/>
        <m/>
        <s v="vidange d'huilemoteur 15W40_x000a_lavage tet graissage generale d'engin"/>
        <s v="réparation d'eclairage et changemet des lampes _x000a_"/>
        <s v="réparation du crevaison pneu par meche de réparation "/>
        <s v="vidange d'huile moteur et changement dufiltre a huile"/>
        <s v="réparation du probleme de démarrage  "/>
        <s v="réparation du probleme de freinage du roue arriere gauche et_x000a_ réglage du roue arriere droit et _x000a_réparation du levier de vitesse"/>
        <s v="changement du support de cardon _x000a_vidange d'huile moteur et boite de vitesse et pont arriere _x000a_changeent du filtre a ahuile et filtre a gasoil _x000a_cangement du filtre a air _x000a_458477 km"/>
        <s v="changement du boite vitesse endomage a cause d'usure du _x000a_pompe a huile de graissage _x000a_changement du convertisseur hydraulique_x000a_achat du leferaille _x000a_changement des galet de levage des fourches_x000a_vidange d'huile moteur 15W40 et changement du filtre a huile"/>
        <s v="vidange d'huile moteur 15W40   _x000a_lavage et graissag generale d'engin"/>
        <s v="montage du système de GPS"/>
        <s v="changement des lampes"/>
        <s v="changement du deux pneu ref 205/75R15"/>
        <s v="peinture generale d'engin _x000a_changement des pieces de carosserie _x000a_réparation d'eclairage "/>
        <s v="changement du deux battrie de démarrage L5 12V"/>
        <s v="fuite d'air _x000a_réparation d'eclairage et changement des lampes"/>
        <s v="changement du battrie ref L5 12V"/>
        <s v="réparation du fuite d'air"/>
        <s v="réparation du fixation du monchon de cardon de transmission"/>
        <s v="réparation du crevaison pneu ref 315/80R22,5"/>
        <s v="réparation du freinage et changement des plaquettes de frein et jeu de garniture de frein_x000a_deux disque de frein avant avec moyeude roue avant droit _x000a_garniture de frein arriere des arrét de graisse _x000a_démarreur complet _x000a_vidange d'huile de boite de vitessse et pont arriere et moteur _x000a_changement des filtre a huile et filtre a gasoile et filtre a air _x000a_788300km"/>
        <s v="vidange d'huile moteur15W40  et changement du filtre a huile + gasoil vidange d'huile de boite de vitesse et pont arriere km"/>
        <s v="réparation d'eclairage"/>
        <s v="réparation du fuite au niveau du pompe a eau _x000a_vidange d'huile moteur 15W40"/>
        <s v="Mise a niveau "/>
        <s v="vidange d'huile moteur 15w40 ET R2PARATION DU FUITE DE GASOIL"/>
        <s v="changement des cosses battrie et mise a niveau d'eau de battrie _x000a_changement du cope conique ( régularisation du facture )"/>
        <s v="réparation du crevaaison pneu ref 315/80R22,5"/>
        <s v="réparation du ponleme de démarrage "/>
        <s v="vidange systematique"/>
        <s v="réparation d'eclairage "/>
        <s v="changement du solinoide de démarrage moteur (achat du laferaille )"/>
        <s v="Peinture generale du carosserie et réparation d'eclairage _x000a_changemment des lampes et des feu laterale _x000a_changement du support moteur inferieuure _x000a_kit d'embrayage complet _x000a_changement du courroie de distribution moteur avec tondeur et _x000a_jeu de courroie d'accessoires avec tondeur _x000a_changement du kit d'embrayag complet   _x000a_des plaquettes de frein avant avece disque de frein avant    pipe d'eau _x000a_crimaillaiare de direction avec souflet  achat du laferaille _x000a_cardon coté droit _x000a_vidange d'huile moteur et changement des filtres _x000a_"/>
        <s v="chngement des vis de fixation plateau sur chassis"/>
        <s v="entretien et vidange"/>
        <s v="mise a niveau d'huile moteur 15W40"/>
        <s v="changement  du pompe a eau_x000a_tarage des injecteur _x000a_changement des joint d'etanchiete_x000a_vidange d'huile moteur"/>
        <s v="vidange d'huile moteur 15W40_x000a_lavage et graissage generale d'engin"/>
        <s v="vidange d'huile moteur 15W40_x000a_changement du filltre a huile 2654403_x000a_ et filtre a gasoil 2651117_x000a_lavage et graissage generale d'engin"/>
        <s v="réparation d'alternateur de charge battrie _x000a_mise a niveau d'eau de battrie "/>
        <s v="changement du deux jeu egarniture de frein avant et arriere"/>
        <s v="Vidange d'huile moteur 15W40_x000a_réparation des fuite d'huile hydraulique _x000a_lavage generale d'engin"/>
        <s v="réparation du fuite d'huile et changement du flexible hydraulique _x000a_de levage des fourches"/>
        <s v="réparation du probleme de démarrage _x000a_vidange d'huile moteur et changement du filtre a huile_x000a_"/>
        <s v="répaération du probleme au niveau d&quot;essieu arriere et _x000a_changement des roullement a galet des roue_x000a_vidanged'huile moteur 15W40_x000a_changement du filtre a gasoil _x000a_"/>
        <s v="réparation d crevaison pneu ref 11R22,5"/>
        <s v="réparation du déarreur et changement du bendix de démarrage _x000a_réparation du pompe de direction _x000a_vidange d'huile moteur"/>
        <s v="réparation du probleme de démarrage et changement d'alternateur d e charge battrie _x000a_"/>
        <s v="réparation du probleme de freinage (réparation en exterieure du sté )"/>
        <s v="mise a niveau d'huile hydraulique_x000a_vidange d'huile moteur et changement du filtre a huile te gasoil"/>
        <s v="démontage des injecteur pour tarage et réparation _x000a_réparation du joint de refrigerant moteur _x000a_réparation du radiateur et changement du radiateur d'eau _x000a_réparation du tachygraphe _x000a_vidange d'huile moteur et changement du filtre a huile et filtre a gasoil"/>
        <s v="réparation du probleme de tachygraphe"/>
        <s v="changement des lampes d'eclairage"/>
        <s v="mise a niveau dhuile hydraulique AW68"/>
        <s v="changement du deux pneu ref 10R22,5_x000a_vidange systematieque et changement des filtres"/>
        <s v="réparation d'eclairage  "/>
        <s v="changement du kit d'embrayage complet _x000a_réparation d'alternateur de charge battrie "/>
        <s v="en cour"/>
        <s v="réglage du jeu de frein _x000a_montage du boit de pharmacie _x000a_des auto coulant "/>
        <s v="réparation d'alternateur de charge battrie _x000a_changement du jeu de charbon et réparation du retor "/>
        <s v="réparation d'eclairage et changemùment des lampes "/>
        <s v="réparation du crevaison pneu "/>
        <s v="changement du deux master de frein _x000a_coté avant gauche_x000a_reinssage du circuit d'huile de frein"/>
        <s v="changement du filtre hydraulique WP724_x000a_Mise a niveau d'huile hydraulique AW68"/>
        <s v="changement du deux pneu ref 11R22,5"/>
        <s v="changement du courooie de charge battrie _x000a_et réparation du fuite de gasoil"/>
        <s v="reéparation du fuite du gaz d'echappement et changement du pompe a eau_x000a_mise a niveau d'huile hydraulique"/>
        <s v="vidange d'huile moteur _x000a_lavage et graissaged'engin "/>
        <s v="réparation d'eclairage et changement des fusibles a lame "/>
        <s v="vidange d'huile moteur 15W40_x000a_lavage et graissage generale d'engin_x000a_changement du flexible hydraulique percé"/>
        <s v="vidange d'huile moteur 15W40_x000a_changement du filtre a huile et filtre a gasoil"/>
        <s v="vidange generale d'engin et changement des filtre"/>
        <s v="changement du pare brise endommagee pare plaque de plexyglace"/>
        <s v="changement du courroie de distribution moteur avec tondeur _x000a_changement du courrie d'accessoires aevc tondeur _x000a_vidange d'hule moteur 15W40_x000a_changement du filtre a huile et filtre a gasoil et filtre a air _x000a_paralellisme d'essieu avant _x000a_"/>
        <s v="réparation du fixation d'aile de roue "/>
        <s v="changement du deu battrie de démarrage et des cosses battrie _x000a_soudage du scaisse d'outillge"/>
        <s v="renouvlement du certificat de tachygraphe"/>
        <s v="réparation des fuites et changement du kit réparation du distributeur hydraulique et des joints de pompe hydraulique _x000a_vidange d'huile moteur 15W40"/>
        <s v="changement du comodo de feu de signale "/>
        <s v="vidange d'huile moteur et changement du filtre a huile et filtre a gasoil"/>
        <s v="changement du plaque d'ennpanne endommage_x000a_changement du deux pneu ref 10R22,5"/>
        <s v="vidange d'huile ooteur 15W40_x000a_lavage et graisssage generale d'engin _x000a_reparation du fixation de "/>
        <s v="réparation du fuite d'air comprimée"/>
        <s v="changement d"/>
        <s v="vidange d'huile moteur 15W40_x000a_lavage et graissage generale d'engin_x000a_changement du filtre a huile _x000a_et filtre a gasoil"/>
        <s v="changement du kit réparation d'axe pivot et axe fusée coté gauche et droit _x000a_changemnt du kit réparation du verin de levage  et inclinaison et verin de direction _x000a_kit de distributeur  d'accelerateur _x000a_des goujon de roue arriere _x000a_peinture generale d'engin _x000a_vidange d'huile moteur et changement des filtres  a huile moteur et filtre a gasoil _x000a_"/>
        <s v="réparation du freinageet changement de deux jeu de garniture de frein _x000a_des roullement de moyeu de roue _x000a_réctification des tambour _x000a_vidange d'huile moteur et changement du filtre a huile"/>
        <s v="réparation du probleme de démarage et changement des fusibles "/>
        <s v="peinture des caches de roues"/>
        <s v="mise  niveau d'huile hydraulique "/>
        <s v="vidange d'huile moteur et changement des filtres "/>
        <s v="vidange d'hile moteur a sté global engin"/>
        <s v="réparation d'eclairage avant"/>
        <s v="réparation du levier de levge de fourches et hangement du croisillon de levage et des rotules"/>
        <s v="réparation du fuite d'huile hydraulique et ducrevaison pneu"/>
        <s v="réparation du probleme de démarage et du lefage des fourches "/>
        <s v="vidang d'huile moteur et changement du  filtre a gasoil_x000a_lavage et graissage generale d'engin "/>
        <s v="réparation d'eclairage et changement des lampes"/>
        <s v="vidang d'huile moteur et changement du  filtre a gasoil_x000a_filtre a huile moteur _x000a_réparation d'eclairage _x000a_lavage et graissage generale d'engin "/>
        <s v="réparation du fuite d'air _x000a_soudage des  fissures au niveau du chassis de plateau_x000a_réparation d'eclairage "/>
        <s v="vidang d'huile moteur et changement du  filtre a gasoil_x000a_lavage et graissage generale d'engin _x000a_mise  a niveau d'huile hydraulique AW68"/>
        <s v="vidange d'huile moteur 15W40_x000a_lavage et graissage generale d'engin "/>
        <s v="réparation du fuite d'huile hydraulique et soudage du tube en acier"/>
        <s v="vidang d'huile moteur et changement du  filtre a gasoil_x000a_filtre a huile moteur _x000a_lavage et graissage generale d'engin "/>
        <s v="mise a niveau d'huile hydraulique "/>
        <s v="changement du deux pneu ref 9,5R17,5"/>
        <s v="vidange d'huile moteur et changement du filtre a asoil "/>
        <s v="vidange d'huile moteur 15W40"/>
        <s v="vidange d'huilme moteur at changement du filtre a huile _x000a_lavage et graissage egenrale d'engin _x000a_reparation du prbleme d'accelerateur"/>
        <s v="réparation d'eclairage et changement des lampes "/>
        <s v="changement du pneu secour et reparation du crevaison pneu "/>
        <s v="reparation d'eclairage "/>
        <s v="réparation du cable d'accemlérateur "/>
        <s v="réparation d'axe fusée et changement des roullement d'axe fusée"/>
        <s v="mise a niveau d'huile moteur15W40"/>
        <s v="réparation du fuite d''eau"/>
        <s v="réparation du fuite d'ehuile"/>
        <s v="réparation du probleme de démarrage et  fuite du gasoil _x000a_vidange d'huile moteur "/>
        <s v="mise a niveau d'uile hydraulique"/>
        <s v="réparation du probmleme de fixation du plateau sur chassis"/>
        <s v="réparatio d'eclairage du plateau"/>
        <s v="réparation u fixation du jambe de grue de levage "/>
        <s v="réparation d'eclairage et changement de lampes "/>
        <s v="réparation du crevaison pneu"/>
        <s v="réparation du pedale d'embrayage"/>
        <s v="réparation du fuite d'huile hydraulique"/>
        <s v="réparation du fuite d'air "/>
        <s v="réparation du fuite d&quot;air _x000a_réparation d'eclairage _x000a_réparation du crevaison pneu"/>
        <s v="vidange d'huile moteur et changement du filtre a huile et filtre a gasoil_x000a_lavage et graissage generale d'egin _x000a_vidange d'huile du ppont arriere _x000a_réparation du grue de levage_x000a_388450 km"/>
        <s v="réparation du fuite d'huile et changement du flexible hydraulique _x000a_de levage du grue"/>
        <s v="réparation du fixation du pedale d'accelerateur"/>
        <s v="mis a niveau d'huile hydraulique"/>
        <s v="vidange d'huile moteur 15W40_x000a_lavage et raissage generale d'engin"/>
        <s v="changement du jeu de plaquettes de frein avant _x000a_et deux disque de frein avant"/>
        <s v="changement du cope conique complet et deux demi arbre et deux pignon du demi arbre _x000a_changement d'appareille d'air _x000a_lavage et graissage generale d'engin _x000a_vidange d'huile moteur _x000a_599710 km"/>
        <s v="changement du rétroveseur coté gauche endommagé a cause d'un accident "/>
        <s v="vidange d'huile moteur 15W040_x000a_changement du battrie l5_x000a_Reparation du probleme de démarrage moteur "/>
        <s v="vidange d'huile moteur _x000a_realge du jeu de frein "/>
        <s v="changement du courroie de ventillateur "/>
        <s v="réparation du démarreur et changement d du jeu des bagues et relais dmarreur "/>
        <s v="vidange d'huile moteur 15W40_x000a_"/>
        <s v="réparation du probleme de démarrage "/>
        <s v="changement du filtre a air a caause du  colmatage de filtre"/>
        <s v="réparation du probleme d'air comprimée et changement d'appareille d'air (distributeur a quatre chambre ) _x000a_réglage d'embrayage "/>
        <s v="changement du causse battrie  et répration du probleme de démarrage "/>
        <s v="vidange d'huile du pont arriere  "/>
        <s v="vidange d'huile moteur 15W40_x000a_lavage et graissage generale d'engin _x000a_réglage du jeu d'embrayage "/>
        <s v="réparation du rpobleme d'huile de frein "/>
        <s v="change!ment du battrie de démarrage L5 12V"/>
        <s v="vidange d'huile moteur 15W40 filtre a huile_x000a_réparation du probleme de démarrage "/>
        <s v="réparation du prob d'eclairage "/>
        <s v="changement d'essieu avant achat du laferaille _x000a_changement d'alternateur de charge battrie _x000a_vidange d'huile moteur et changement du filtre a huile "/>
        <s v="réparaton d'eclirage et changement des lampes "/>
        <s v="changement du fleible hydrulique "/>
        <s v="montage des phares secour "/>
        <s v="changement du bbattrie de démarrage L3"/>
        <s v="réparation dufixation d'aile de roue"/>
        <s v="changement du flexible hydraulique "/>
        <s v="réparation du probleme d'affichage des erreures sur tableu de bord "/>
        <s v="réparation du bruit a normale au niveua du tube d'echappement _x000a_vidange d'huile du pont arriere "/>
        <s v="réparation d'&quot;eclairage et changement des lampe ref 17643"/>
        <s v="vidange d'huile moteur et changement u filtre a hule et filtre a gasoil et filtre a air "/>
        <s v="réparation du fuite d'air et changemment du tuyau percé"/>
        <s v="changement du manette de levage de fourches "/>
        <s v="aménagement d'atelier mecanique auto "/>
        <s v="vidange d'hule moteur 15W40_x000a_changement di filtre a huile et filtre a gasoil"/>
        <s v="changement du manette de llevier hydraulique "/>
        <s v="organisation d'atelier"/>
        <s v="changement du jeu de plaquette de frein_x000a_changement du courroie de distribution _x000a_changement du support moteur inf "/>
        <s v="changement du deux galet de monte charge "/>
        <s v="changement du moteur thermique achat du laferaille _x000a_changement des injecteur et des joint du plaque aavant de distriution_x000a_vidange d'huile moteur 15W40_x000a_filtre a huile "/>
        <s v="réparation du fuite au niveu du circuit d''huile d'embrayage "/>
        <s v="vidange d'uile moteur 1540_x000a_réparation du probleme de direction _x000a_245746 km"/>
        <s v="vidange d'uhuile moteur et changement du filtre a huile _x000a_et filtre du climatiseur"/>
        <s v="réparation du probleme de démarrage et mise _x000a_a  niveau d'huile hydraulique "/>
        <s v="changement du deux jeu de garnirure de frein _x000a_des master de frein 8 master adaptable _x000a_des arrét de graisse _x000a_vidange d'huile moteur _x000a_715655km"/>
        <s v="mise a niveau d'huie moteur 15W40"/>
        <s v="réparation du freinage et changement du deux jeu de garniture de frein _x000a_at des arrét de graisse moyeu réparation d'eclairage _x000a_peinture generale d'engin _x000a_changement des pieces de carosserie _x000a_réparation d'eclairage "/>
        <s v="réparation du deux verin de levage des fourches _x000a_et confection du deux tige verin par ARI _x000a_changement du kit réparation verin de levage"/>
        <s v="soudage des fourches de levage "/>
        <s v="Réparation du fixation du plateau sur chassis et vidange d'huile moteur 15W40"/>
        <s v="vidange d'huile moteur et_x000a_ réparation d'eclairage _x000a_422798 km"/>
        <s v="réparation du fuite d'eau et chagement du kit réparation du compresseur d'air comprimé"/>
        <s v="chagement du démarreur complet "/>
        <s v="réparaion du crevaison pneu et changement du chambre a air "/>
        <s v="réparation d'ecaiorage et changement des lampes "/>
        <s v="changement du kit réparation d'axe pivot  "/>
        <s v="vidange d'huile moteur et changement _x000a_du filtre a huile et filtre a gasoil_x000a_7618 h"/>
        <s v="vidange d'huile moteur 15W40_x000a_changement du filtre a huile et filtre a gasoil_x000a_réparation d'eclairage _x000a_534093 km"/>
        <s v="changement des galet de rampe 10galet _x000a_et deux pour mat de levage _x000a_chgangement du battrie de démarre l5_x000a_déplacement du chariot a sté sinaston"/>
        <s v="vidange d'huile moteur _x000a_et changement du filtre a huile et filtre a gasoil_x000a_lavage et graissage generale d'engin_x000a_619299 km"/>
        <s v="vidange d'huile moteur _x000a_et changement du filtre a huile et filtre a gaoil_x000a_lavage et graissage generale d'engin_x000a_panne du compteur h"/>
        <s v="changemlent du solinoid d'arrét moteur achat du piece adaptable _x000a_puis endomagement du solinoide acheté _x000a_réparation d'ancienne solinoid original pour déppanage "/>
        <s v="changement du pompe d'amorssage endommegé"/>
        <s v="réparation d'eclairage et changeement des lampes "/>
        <s v="réparation du fuite d'huile et mise a niveau d'huile hydraulique "/>
        <s v="changement du barre de direction "/>
        <s v="réparation du probleme de levage du grue "/>
        <s v="changement du solinoide d'arrét moteur "/>
        <s v="mise a iniveau d'huile hydraulique et huile moteur"/>
        <s v="changement du deux felxible hydraulique du grue de levage"/>
        <s v="sortie hors ste pour réparation du probleme _x000a_changement du boite de vitesse achat occasion du laferaille( boite du camion mitsubishi 8 goujon )_x000a_réparation du fuite d'huile d'embrayage et vidange d'huile moteur et huile du pont arriere _x000a_réparation d'eclairage "/>
        <s v="réparation des ressorts a lame et des axedu jumelle"/>
        <s v="sortie hors ste pour réparation du probleme _x000a_déplacement vers auto hall pour controlée la source _x000a_avec contrôle du mr brahim _x000a_réparation du cope conique par un sous traitant ( mr aabdou)"/>
        <s v="réparation du fuite d'huile hydraulique et changement _x000a_du filtre a huile hydraulique"/>
        <s v="changement du chaine de levage "/>
        <s v="changement du moteur thermique (achat du laferaille par mr brahim )_x000a_ancienne model )_x000a_changement du disque d'embrayage reglage du jeu de frein _x000a_réparation d'eclairage "/>
        <s v="réparation du prbleme de démarrage "/>
        <s v="changement d'arrét d'huile pompe hydraulique _x000a_des roullement de pompe _x000a_et leur joint torique _x000a_filtre a gasoil "/>
        <s v="vidange d'huil moteur 15W40_x000a_24226 h"/>
        <s v="changement des deux pneu ref 175/65R14"/>
        <s v="réparation du fuite d'huile de direction "/>
        <s v="vidange d'huile moteur 15W40_x000a_11019 km"/>
        <s v="changement du deux jeu de plaquettes de frein avant et arriere _x000a_"/>
        <s v="réparatio du probleme de démarrage et changement du battrie l5"/>
        <s v="vidange d'huile moteur 15w40_x000a_réparation du fuite de gasoil"/>
        <s v="changement d'arrét d'hyuile du boitier de direction hors sté _x000a_changement du kit d'embrayage complet originale _x000a_vidange d'huile moteur et changement du filtre a huile et filtre a gasoil _x000a_711130 km"/>
        <s v="vidange d'huile moteur et changement du filtre a air "/>
        <s v="Réparation du probleme de grue de levage "/>
        <s v="mise a niveau d'huile de frein _x000a_réparation d'eclairage "/>
        <s v="changement du deux pneu ref 295/80R22,5_x000a_paralellisme d'essieu avant "/>
        <s v="sortie hors sté pour dépannage du tondeur _x000a_changement du tondeur du courroie d'alternateur adaptable"/>
        <s v="mise a niveau d'huile moeur et huile hydraulique"/>
        <s v="changement du cable d'accélérateur "/>
        <s v="changement du pompe a eau "/>
        <s v="réparatio e peinture du face arriere "/>
        <s v="vidange d'huile moteur et changement du filtre a huile et filtre a gasoilo et filtre a air    263510 km"/>
        <s v="changement du jeu de garniture de frein _x000a_deux tambour de frein arriere et jeu de garniture de frein avant _x000a_des arrét de graisse de moyeu arriere _x000a_plaquettes de frein avant _x000a_kit souflets de frein avant venteuse de frein arriere gauche "/>
        <s v="mise a niveau d'huile hydraulique AW68"/>
        <s v="diagnostique d'engin"/>
        <s v="changement du ourroie d'alternateur ce charge battrie "/>
        <s v="changement du thermocontact de temperature de liquide de refroidissement _x000a_et claxon babouch 24 V_x000a_vidange d'huile moteur 15W40"/>
        <s v="réparation d'clairage "/>
        <s v="changement du 4 pneus ref 315/80R22,5"/>
        <s v="réparation du b fuite d'huile hydraulique "/>
        <s v="vidange d'huile moteur lavage et graissage d'engin _x000a_34548 h "/>
        <s v="vidange d'huile moteur et changement du filtre a huile et filtre a air et filtre a gasoil_x000a_79 h"/>
        <s v="réparation du probleme de boite de vitesse _x000a_et changement du trois jeu de sinchroniseur et disque d'embrayage et réparation des fuites d'air et du pare choc avant _x000a_accidenté _x000a_vidange d'huile du boite de vitesse "/>
        <s v="réparation  et changement du deux mecanisme de leve gllace du porte de cabine et changement du vitre du porte avant gauche _x000a_ et du deux poignet de levege vitre _x000a_réparation d'alternateur de charge battrie "/>
        <s v="VIDANGE D4HUILE MOTEUR 15w40_x000a_SOUFLAGE DU FILTR A AIR _x000a_vidange d'huile de boite de vitesse _x000a_vidnge d'huile de pont arriere "/>
        <s v="réparation declairage "/>
        <s v="cangement du solinoide d'arrét moteur et du deux cosses battrie "/>
        <s v="changement du deux jeu de plaquette de frein avant et arriere"/>
        <s v="changement du radiateur _x000a_cable d'embrayage courroie _x000a_courroie d'alternateur _x000a_moteur tharmique achat bon occasion _x000a_fourchette d'embrayage et butée d'embrayage et arrét d'huile cardon _x000a_vidange d'huile moteur _x000a_            km"/>
        <s v="vidange et entretien systematique _x000a_montage du pistolet d souflage et netoyage "/>
        <s v="vidange et ventretien systematique "/>
        <s v="mise a niveau d'huile moteur et huile hydraulique "/>
        <s v="changement du compresseur d'air comprimée _x000a_réparation d'eclairage et changement des lampes _x000a_changement du pare choc arriere _x000a_deux flexible spirale d'air de plateau _x000a_deux main d'acoupplement _x000a_flacheur 24 Vjeu du balai d'essuie glace "/>
        <s v="réparation du distributeur hydraulique et grue de levage _x000a_vidange d'huile moteur et lavage graissage _x000a_réparation d&quot;eclairage "/>
        <s v="renouvlement det réparation du tachygraphe "/>
        <s v="vidange d'huile moteur 15W40_x000a_vidange du boite de vitesse _x000a_vidange d'huile du pont arriere _x000a_457450 km"/>
        <s v="réparation du fixtaion de godet de netoayage "/>
        <s v="changement du deux battrie de démarrage L11 12V"/>
        <s v="Vidange d'huile moteur 15W40_x000a_changement du filtre a huile et filtre a gasoil_x000a_lavage et netoyyage generale d'engin _x000a_224466 km"/>
        <s v="vidange d'huile moteur 15W40_x000a_lavaget et netoyyage d'engin _x000a_557594 km"/>
        <s v="vidange d'huile moteur et changement du filtre a air _x000a_lavage et graissage generale d'engin _x000a_7619 h"/>
        <s v="changement du battrie de démarrage l3_x000a_é(récupere sous garantie )"/>
        <s v="viange d'huile moteur 15W40_x000a_ et réparation d&quot;clairage _x000a_722265 km"/>
        <s v="changemùent du deux jeu de plaquette  de frein _x000a_pour tracteur avant et arriére _x000a_réparation d'eclairage "/>
        <s v="changement du deux pneu ref 205/75R17,5"/>
        <s v="changement du deux pneu ref 285/40R22_x000a_pour voiture du mr adil AUDI Q8"/>
        <s v="mise a niveau d'huile hydraulique _x000a_réparation du fuite d'huile "/>
        <s v="changement du deux pneu ref 1106 R16 _x000a_achat bon occasion _x000a_réparation d'eclairage "/>
        <s v="réparatio  du fuite d'huile et changement du pompe d'eau +arrét d'huile moteur avant et arriere _x000a_4 silent bloc du cabine _x000a_3 kit de réparation verin de levage et débouchage et reinssage du radiateur 8 galet de rampe vidange d'huile moteur _x000a_     22495    h"/>
        <s v="changement de lampes et réparation d'eclairage "/>
        <s v="vidange d'huile de boite de vitesse"/>
        <s v="changemlent u rétroveseur coté droite _x000a_renouvlement du certificat de tachygraphe"/>
        <s v="vidange d'huile moteur _x000a_mise a niveau d'huile hydraulique _x000a_24737 h"/>
        <s v="mise a niveau d'huile hydraulkique "/>
        <s v="vidange d'huile moteur et changement _x000a_du filtre a huile 2631145010_x000a_ filtre a air 281304H002_x000a_ filtre a gasoil3194541002_x000a_55769  km"/>
        <s v="changement du jeu des courroies d'accessoires ave tondeur s_x000a_changement du jeu du courroie de distribution avec tondeurs _x000a_271548 km"/>
        <s v="changement du deu pneu ref 12R22,5_x000a_HDA02166C_x000a_HDA05386C_x000a_789225 KM"/>
        <s v="vidange d'huile moteur et changement _x000a_du filtre a huile 2631145010_x000a_ filtre a air 281304H002_x000a_ filtre a gasoil3194541002_x000a_102404  km"/>
        <s v="chagnement du piece de rapeelle pompe d'embrayage "/>
        <s v="changement d'appareille d'air comprimé"/>
        <s v="changement du quatre pneu ref 315/80R22,5_x000a_vidange t entretien systematique _x000a_215129 km"/>
        <s v="changement du synchroniseur du GV_x000a_récuperé du sté INTERAGREGAT _x000a_vidange d'huile de boite de vitesse "/>
        <s v="achat du tachygraphe pour montage on cat de réparation"/>
        <s v="vidange d'huile moteur 15W40_x000a_797485 km"/>
        <s v="réparation du flexible percé "/>
        <s v="mise a nouveau d'essieu arriere _x000a_et changement edes rotules de biel direction des silent bloc d'essieu _x000a_des roullement d'axe fusée _x000a_des roullemet d'axe pivot _x000a_"/>
        <s v="changeme nt du quatre pneu ref 12R22,,5_x000a_serie TDA 053323 / TDA05378C  / TDA05371C  /  JZD03474C"/>
        <s v="vidange d'huile moteur 15W40_x000a_466664 km"/>
        <s v="changement du solinoid d'arrét moteur _x000a_achat du marque adaptable  et non pratique "/>
        <s v="dépose et pose du moteur après leur réparation et changement du pochette roudage et changement des siege souppape et contrôle du culasse _x000a_peinture generale d'engin _x000a_    h"/>
        <s v="changement du rétroveseur coté gauche endommagé a cause d'un accident _x000a_entretien systematique_x000a_35700"/>
        <s v="réparation du fuite du boite de vitesse "/>
        <s v="réparation du probleme de démarrage et changement des fusibles a lame"/>
        <s v="réparation d'essieu arrierechez ATT et changeent des chappe de direction et des rotule de direction et des bagues usée _x000a_changement et réparation du tube d'echappement  _x000a_changement du deux  kit de reparation verin de levage "/>
        <s v="réparation u creavaison pneu "/>
        <s v="changement du dux filtre a gasoil 81125030086 / 81125030042_x000a_et filtre a air 814050021"/>
        <s v="changement du pipe d'eau confectioné"/>
        <s v="vidange d'huile moteur 15W40_x000a_changement du filtre a hile _x000a_changement du flexible hydraulique _x000a_651261  km"/>
        <s v="changement du deux pneu ref 10R22,5 "/>
        <s v="netoyyage du circuit de gas d'echappement et du pot catalytique _x000a_par produit WD40_x000a_changement du triangle de suspontionet du bielette de suspontion _x000a_et deux rotule de suspontion avant_x000a_vidange d'huile moteur et changement des filtre  _x000a_275100 km"/>
        <s v="vidange d'huile moteur at chanement du filtre a huile et filtre a gasoil _x000a_lavage et graissage generale d'engin_x000a_798255"/>
        <s v="réparation du tole et peinture du carosserie coté aaccidenté"/>
        <s v="vidange d'huile moteur 15W40_x000a_changement du filtre a huile et filtre a gasoil_x000a_lavage et graissage generale d'engin_x000a_571223 km"/>
        <s v="des chaussures neuf pour 17 personne de service maintenance "/>
        <s v="vidange d'huile moteur 15W40_x000a_changement du filtre a huile , filtre a airet filtre a gasoil_x000a_lavage et graissage generale d'engin_x000a_1946 h "/>
        <s v="vidange d'huile moteur 15W40_x000a_changement du filtre a hule et filtre a gasoil _x000a_vidange d'huile du pont arriere et boite de vuitesse _x000a_431693 km"/>
        <s v="réparation d'ecairage te changement des lampes "/>
        <s v="Sortie hors sté pour déppanage du camion et réparation du fuite d'air "/>
        <s v="changement du kit d'embrayage complet _x000a_disque et plateau et butée _x000a_pompe inferieur d'embrayage "/>
        <s v="vidange d'huile moteur et changment du filtre a huile et filtre a gasoil _x000a_et filtre a air _x000a_2845 h"/>
        <s v="changement du deux pneus ref 295/80R22,5_x000a_tableaue magnetique pour atelier mecanique auto _x000a_"/>
        <s v="changement du quatre pneus ref 315/80R22,5_x000a_221170 km"/>
        <s v="réparation du problme de démarrage "/>
        <s v="changemet du jeu de balai d'essuie glace "/>
        <s v="changement du filet on nylon "/>
        <s v="montage du plaque de limiteation vitesse _x000a_réparation d'eclairage "/>
        <s v="changement d'injecteur récupéré du laferaille interne _x000a_avec douille _x000a_réparation du probleme de melange du gasoil avec gas d'echappement _x000a_netoyyag du reservoire de gasoil _x000a_changement du filtre de chassis "/>
        <s v="vidange d'huile moteur 15W40_x000a_lavage et graissag d'engin_x000a_821701 km"/>
        <s v="réparation du démarreur et changement du jeu des charbon et induit de démarreg "/>
        <s v="vidange d'huile moteur 15W40_x000a_10943 h"/>
        <s v="changement du démarreur complet _x000a_marque adaptable "/>
        <s v="réparation du pare choc avant fissurée a cause d'un accident "/>
        <s v="changement du battrie de démarrage l5_x000a_et des fusible a lame"/>
        <s v="hangement dui filtre a air "/>
        <s v="jeu bdes cles pipe du 6 mm 24 mm"/>
        <s v="vidange d'huile moteur 15W40_x000a_192030 km"/>
        <s v="peinture generale d'engin et répparation du carosserie _x000a_depose et pose du moteur thermique pour réparation du fuite d'huile moteur et changement des arrét d'huile moteur avant et arriére et boitier de direction changement des flexible hydrauliques en fuite _x000a_des silent bloc d'essieu arriere _x000a_kit réparation d'axe fusee _x000a_kit réparation d'axe pivot _x000a_kit réparation verin de direction _x000a_"/>
        <s v="réparation du probleme de fuite d'huile et changement des acces pivot et kit réparation axes fusee _x000a_changement du verin de direction _x000a_changement du pochette de joint a cause du fuite  au niveau des arrét d'huile moteur thermique _x000a_tarage du pompe d'injection et des injecteurs _x000a_réparation d'eclairage _x000a_peinture generale d'engin _x000a_vidange d'huile moteur et changement du filtre a huile _x000a_34909 h_x000a_"/>
        <s v="dépose et pose duu moteur thermique pour réparation du fixation du cloche moteur "/>
        <s v="changement du deux pneu avant ref 14,5R20"/>
        <s v="changement du deux battrie ref  L3 12V_x000a_changement du piecesrappel pedale d'accelerateur "/>
        <s v="mise a niveau d'huile moteur "/>
        <s v="changement du kit réparation d'axe fuséé et kit réparaton d'axe piivot _x000a_changement du deux jante achat du laferaille et deux pneus neuf ref 23*9*10 pour les roue arrieres _x000a_réparation du levier de distributeur hydraulique _x000a_vidange d'huile moteur 15W40_x000a_changement du filtre a huile_x000a_7619 h"/>
        <s v="changement du deux cables de selection vitesse "/>
        <s v="changement du tableu des fusibles et relais brulé a cause du fuite d'eau de pluie"/>
        <s v="vidange d'huile moteur 15W40   65700 km"/>
        <s v="répration d''alternateur de charge battrie "/>
        <s v="réparation du probleme d'injection du gasoil _x000a_changement du filtre a gasoil _x000a_changement du prefiltre a gasoil"/>
        <s v="réparation du probleme de freinage et chagement du quatre jeu de garniture de frein pour tracteuur etplateau _x000a_des arrét de graisse reducteur de tracteur _x000a_réparatio d'eclairage et  changement des lampes _x000a_changement du boitier de direction achat du laferaille _x000a_changement du deux venteuse du cabine _x000a_avant et arriere "/>
        <s v="dépose et pose du moteur thermique pour la deusieme fois pour change leur group moteur avec des pistons chemises (achat du laferaille par mr brahim ) réparation du reulaateur d'injection gaoil _x000a_pochette joint coimplet _x000a_vidange d'huile moteur 15W40_x000a_1915 h"/>
        <s v="changement du deux pneu ref 12R22,5_x000a_"/>
        <s v="réparation du probleme d'embrayage et changement changement du pompe d'embrayage inferieur et  sup _x000a_changement du mecanisme de levier de vitesse complet_x000a_vidange d'huile moteur 15W40"/>
        <s v="changement du deux pneu ref 205/75R17,5_x000a_serie EKZ33885A  /  FKZ20457A"/>
        <s v="réparation du problem de démarrage  "/>
        <s v="vidange d'huile moteur 15W040_x000a_480481 km"/>
        <s v="changement du filtr a air ref 1444TV"/>
        <s v="changement du klaxon 24 V"/>
        <s v="changement du filtre a gasoil et réparation du probleme de démarrage "/>
        <s v="usure des pneu _x000a_changement du deux pneu ref 12R22,5  xz_x000a_serie TDA05389C   /   TDA05397C"/>
        <s v="vidange d'huile moteur et changment du filtre a huile et filtre a gasoil _x000a_et filtre a air _x000a_360h"/>
        <s v="réparation du probleme de freinage et changement du jeu de garniture de frein avant et arriere _x000a_des arrét de graisse de moyeu avant et arriere _x000a_quatre roullement de moyeux arriere gauche et  droit _x000a_deux master de frein arriere complet _x000a_deux tambour arriere et rectification du deux tambour avant _x000a_vidange d'huile moteur et boite de vtesse et pont arriere _x000a_803300km"/>
        <s v="changement du filtre a air a cause du  colmatage de filtre"/>
        <s v="changment du  filtre a air  579300 km"/>
        <s v="réparatiion d'eclairage et changemet des lampes "/>
        <s v="vidange d'huile moteur _x000a_et changement du filtre a huile _x000a_731500 km"/>
        <s v="réparation du probleme d'injection gazoil et tarage des injecteurs _x000a_et chhangement du pieces d'accelerateur _x000a_débouchage du radiateur _x000a_réparation des element de suspontion _x000a_(tous ces intervention et réaliser a sté  RENAULT TRUCK + CAHLAOUI RADIATEUR ET TRANS RAJBOUN °"/>
        <s v="réparation du probleme de selection vitesse a sté SEFAMAR_x000a_probleme electrique c_x000a_changement des file et boitier de comande"/>
        <s v="mise a niveau d'hule hydraulique"/>
        <s v="vidange d'huile moyeur et changement des filtre a huile"/>
        <s v="peinture du face avant apres un accident avec camion du ste KARKACHI "/>
        <s v="vidange d'huile moteur 15W40_x000a_417469 km"/>
        <s v="changement du trois venteuse de suspention  cabine _x000a_sauf arriere gauche_x000a_réparation du fixation pare choc avant _x000a_réparation des element de suspention _x000a_changement du quatre pneu ref 315/80R22,5"/>
        <s v="changement d'afficheur "/>
        <s v="vidange d'huile moteur changement des filtres_x000a_250178 km"/>
        <s v="changement du retroveseur cote gauche endommage a cause d'un accident "/>
        <s v="changement du démarreur complet _x000a_achat du laferaille _x000a_réparation du fuite d'huile changement du deux flexible d'huile d'huile hydraulique"/>
        <s v="réparation d'eclairege "/>
        <s v="vidange d'huile moteur et lavage graissage genarale d'engin_x000a_117468 km"/>
        <s v="vidange d'huile moteur et lavage graissage genarale d'engin_x000a_70455 km"/>
        <s v="changement du deux battrie d démarrage M15_x000a_réparaton du crevaison pneu par meche de raparation crevaison "/>
        <s v="vidange d'hile moteur 15W40"/>
        <s v="changement du plaque de limitatio vitesse "/>
        <s v="réparation du probleme de fixation du plateau sur chassis _x000a_changement des vis de fixation par des brides des serrage "/>
        <s v="changement du culasse et du pochette roudaage avec des joint des injecteur _x000a_et joint culasse marque catrepillar _x000a_vidange d'huile moteur 15W40 2145 h_x000a_changement des filtre de gasoile et filtre a huile moteur _x000a_tarage des injecteur "/>
        <s v="vidange d'hile moteur et lavage graissage generale d'engin _x000a_réparation du fuite d'eau_x000a_22988 h"/>
        <s v="réparation des trois culasse et changement des sieges souppape et guides souppape _x000a_rectification des culmasse _x000a_changement du pochette joinnt et des souppape d'admission et d'echappement "/>
        <s v="changement du thermostat de refroidissement _x000a_déplacement a sté RENAULT TRUCK POUR la réparation du probleme d'injection de gazoil et probleme d'ccelerateur affiché sur tableau de bord  _x000a_changement du deux filtre a gazzoil "/>
        <s v="réparation du fuite d'huile et reglage de jeu de freinage "/>
        <s v="réparation d'eclairae "/>
        <s v="changement du deux kit de réparation axes pivot endommage _x000a_et déplace l'essieu a ste itri tournage  pour dmonté sous presse _x000a_vidange d'huile moteur 15W40_x000a_changement du filtre a ahuiile _x000a_830900km"/>
        <s v="réparation du fuite d'eau et debouchage du circuit de refroidissement"/>
        <s v="vidange d'huile moteur et lavage graissage generale d'engin _x000a_réparation du probleme de freinage _x000a_réparation du probleme  de charge battrie   1_x000a_11341 h"/>
        <s v="réparation du crevaison pneu _x000a_reparation d'eclairage "/>
        <s v="vidange d'huile moteur 15W40_x000a_changement des filtres a huiles et filtres a gazoil _x000a_497268 km"/>
        <s v="réparation du probleme electrique de fermeture et ouverture du portes d'engin"/>
        <s v="réparation du probleme d'injection gazoil  "/>
        <s v="réparation du fuite de liquide de refroidissement _x000a_et vidange d'huile moteur et changement des filtres a huile et filtres gazoil _x000a_reparation du fuites d'air _x000a_596300 km"/>
        <s v="réparation du trois verin de levage "/>
        <s v="réparation du distributeur hydraulique de levage des verin _x000a_"/>
        <s v="entretien systematique a ste glabal engin _x000a_changement du deux jau de balai d'essuie glace "/>
        <s v="changement du quatre pneu ref 315/80R22,5  "/>
        <s v="vidange d'huile du boite de vitesse  et pont arriere _x000a_         500245      km"/>
        <s v="changement du pompe d'embrayage superieur et purge du circuit d'huile _x000a_changement du filtre a air "/>
        <s v="répartion du probleme de feu de stop "/>
        <s v="reparation du crevaison pneu "/>
        <s v="réparationdu probleme d'alternateur de charge battrie "/>
        <s v="réparation du probleme de tableau de bord "/>
        <s v="réparation du fite d'air comprime"/>
        <s v="réparation d'eclairage _x000a_réparation du tachygraphe"/>
        <s v="répataion d'embrayage et changement du disque d'embrayage et plateau de serrage  et butée_x000a_réparation du problememe de charge battrie et changement d'alternateur de charge battrie _x000a_changement du mecanisme de frein de stationnement "/>
        <s v="réparation du probleme du gaz d'echappement "/>
        <s v="vidange d'huile moteur _x000a_lavage et graissaged'engin _x000a_   641km"/>
        <s v="changement des galet de rampe et réparation du fixation chaine"/>
        <s v="changement du quatre pneu ref 27*10-12_x000a_23/9-10"/>
        <s v="Changement du deux battrie de demarrage L5"/>
        <s v="vidange d'huile moteur et lavage graissage generarale d'e,gin"/>
        <s v="réparatiopn declairage et changement des lampes "/>
        <s v="réparation du fuite du gazoil et changement du pompe du gazooil et tuyau deg gazoil changement des galets de rampe"/>
        <s v="réparation du probleme de frein et changement des plaquette de frein avant et des chappe de direction (chappe et plaquette usee récupere d'atelier )"/>
        <s v="réparation du fuite de gazoil et changement du pompe d'alimentation gazoil et des galet de rampe 8 galet "/>
        <s v="changement du quatre pneu ref 205/65r15_x000a_199300 km"/>
        <s v="changement du pack du brosse complet "/>
        <s v="réparation du fuite d'eau et changement du tube d'echappement complet avec pot d'echappement _x000a_vidange d'huile moteur _x000a_  440928 km"/>
        <s v="réparation du fixation du reservoire de gazoil"/>
        <s v="changement du jeu du balai d'essuie glace  650mm"/>
        <s v="réparation du fuite d'eau et débouchage du radiateur et reinssage du circuit de refroidissement _x000a_réparation du pompe de gazoil _x000a_changemnt du pompe d'amorssage gazoil _x000a_changement des durite d'eau et d'huile moteur _x000a_vidange d'huuiile moteur _x000a_600764 km"/>
        <s v="vidange d'huile moteur et changement du_x000a_ filtre a huile 8200768927_x000a_ filtre  a gazoil 7701043620_x000a_163613 km"/>
        <s v="réprationd d'eclairage "/>
        <s v="réparation du probleme de démarrage et changeent des cosses battrie "/>
        <s v="soudure du piece de fixation pneu secour "/>
        <s v="réparation du fixation du klaxon "/>
        <s v="réparation du felxible hydraulique et changement du kit réparation verin de levage ( changement du couppelle principale  adaptable )"/>
        <s v="réparation du probleme de frein moteur "/>
        <s v="sortie pour déppanage du camion et réparation du fuite d'air comprimeee au niveau du circuit d'embrayage "/>
        <s v="réparation du fuite d'eau et changement du durte de liquide de refroidissement et changement du pip d'eau _x000a_réparation du fuite d'air comprimee _x000a_vidange d'huile moteur et changement des iltre a huile moteur _x000a_781300 km"/>
        <s v="réparationb et débouchage du rasdiatreur _x000a_peinture generale d'engin "/>
        <s v="réparation du tachygraphe"/>
        <s v="peinture generale d'engin et changement du joint du pompe d'eau et réparation _x000a_du rediateur et débouchage _x000a_changement du durite d'eau _x000a_réparation d'eclairage "/>
        <s v="mise a point du moteur thermique et changement du groupe moteur et vilebrequine réquperé du moteur laferaille du sté KARKACHI  et réparration des culasse "/>
        <s v="mise a niveau d'huile hydraulique du grue et boite de vtesse"/>
        <s v="vidange d'huile moteur et changement du filtre a huile et filtre a gasoil_x000a_201250 km"/>
        <s v="mise a niveau d'huil hydraulique AW68"/>
        <s v="réparation du fixation du vitre de porte  cabinne"/>
        <s v="réparation du probleme d'embrayage et changement du kit d'embrayage complet disque et plateau ey butee _x000a_réparation du fixation du tole inferiieur du moteur _x000a_vidange d'huile du boite de vitesse"/>
        <s v="réparation du fuite d'huile et vidange d'huile moteur_x000a_netoyage souflage du filtre a air _x000a_64 h"/>
        <s v="vidange d'huile moteur 15W40_x000a_lavage et netoyage d'engin _x000a_souflage d filtre a air _x000a_2858 h"/>
        <s v="changement du tuyau d'air "/>
        <s v="changement du jeu de garniture de frein _x000a_arrier et jeu de plaquette aavant marque adaptable _x000a_alesage des disque de frein avant _x000a_"/>
        <s v="changemlent d'arréét d'huile moteur theramique et deux pneu avant et flectore +kit réparation du distributeur d'acceleration "/>
        <s v="changement du filtre a air collmaté "/>
        <s v="réparation et soudage et peinture du caissse d'outillage "/>
        <s v="sortie hors sté pour dépannage du camion et changeent d flexible hydraulique percé "/>
        <s v="réparation du fuite d'huile et vidange d'huile moteur_x000a_netoyage souflage du filtre a air _x000a_688900 km"/>
        <s v="changeent dui jeu des bagues et charbon pour démarreur _x000a_changement de deux reais démarrauer adaptable _x000a_réparation d'eclairage "/>
        <s v="réparation d'eclaierage"/>
        <s v="changement du kit d'embrayage complet _x000a_changment des pieces du carosserie des feu laterale _x000a_et des feu rouge arriere _x000a_deux retroveseur +arréet de'huile moteur coté arriere _x000a_butée d'embrayage _x000a_réparation du coouple conique (récuperation des pieces du laferaile d'atelier ) _x000a_changement des optiques avant _x000a_deux feu rouge arriere _x000a_vidange d'huile du pont arriere +boite de vitesse +et huile moteur _x000a_changement du deux retroveseur _x000a_peinture genarale d'engin _x000a_509937 km"/>
        <s v="montage du pompe d'allimentation de gasoil electrique 12v_x000a_"/>
        <s v="réparation du fuite d'huiile _x000a_lavage et graissage genarale d'engin _x000a_"/>
        <s v="changement d'essieu avant achat du l'aferaille "/>
        <s v="changement du tuyau du gasoil et des joint des injecteurs _x000a_changement du deux tuyau spirale pour remorquage _x000a_et cable de remorquage et ceinture du reservoire gazoil _x000a_changement du pompe d'eau originale "/>
        <s v="réparation du probleme d'ijection gasoil _x000a_reglage du jeu de souppape changement du filtre a gasoil _x000a_changement du joint collecteur d'echappement _x000a_vidange d'huile moteur 15W40_x000a_2329h"/>
        <s v="vidange d'huile moteur 15W40 _x000a_25572 h"/>
        <s v="mise a niveau d'huile de frein a cause du fuite au niveau des master de frein "/>
        <s v="changement du deux jeu de garnirure de frein _x000a_des master de frein avant _x000a_des arrét de graisse moyeu de roue  _x000a_deux jeu des roullement du mmoyeu de roue coté gauche _x000a_"/>
        <s v="vidange d'huile moteur 15W40_x000a_lavage et graissage generale d'engin _x000a_809207 km"/>
        <s v="changement du jeu du balai d'essuie glace _x000a_changement du deux bras de baai d'essuie glace "/>
        <s v="réparation du problem d'injection gasoil et tarage des injecteurs et regulateur d'injection gasoil changement des joint d'injecteur _x000a_changement des filtre a gasoil et filtre a huile et vidange d'huiile moteur _x000a_       h"/>
        <s v="réparation du crevaison pneu et changement du chambre  a air "/>
        <s v="vidange d'huile moteur 15W40_x000a_souflage du filtre a air _x000a_graissage generale d'engin _x000a_35039 h"/>
        <s v="réparation du probleme de fixation d'axe de ggodet de charge "/>
        <s v="démontage du boite de vbitesse pour réparation du bruit anormale _x000a_et changement du deux arrét dd'huile du boite de vitesse et roullement endommage achat des pieces adaptable changement du deux jeu de plaquette de frein kit fourchette d'embrayage et selecteur de vitesse achat du laferaille _x000a_vidange d'huile de boite de vitesse"/>
        <s v="sortie avec camion pour répare et change leur flexible percé"/>
        <s v="vidange d'huile moteur 15W40_x000a_souflage du filtre a air _x000a_graissage generale d'engin _x000a_610300 km"/>
        <s v="changement du deux battrie de démarrage H3  12V"/>
        <s v="réparation et changement du flexible percé"/>
        <s v="réparation d'eclairage et changement des lampes défectueuse"/>
        <s v="vidange d'huile moteur 15W40_x000a_souflage du filtre a air _x000a_graissage generale d'engin _x000a_84700 km"/>
        <s v="réparation du probleme de feu de stop "/>
        <s v="changement d'alternateur de charge battriie achat neuf "/>
        <s v="vidanghe d'huile moteur 15W40_x000a_lavage et graisage genarale d'engin _x000a_748600 km"/>
        <s v="peinture du coté arriere pare choc et capot arriere a cause d'un accident "/>
        <s v="changement du variateur de comande marche avant arriere "/>
        <s v=" vidanghe d'huile moteur 15W40_x000a_lavage et graisage genarale d'engin_x000a_réparation du probleme d'inection gasoil  au niveau du filtre a gasoil (separateur d'eau )_x000a_279800 km"/>
        <s v="changement du battrie de démarrage l3 12v"/>
        <s v="changement du deux battrie de démarrage 15V L5"/>
        <s v="changement du deux battrie de démarrage 12V L5"/>
        <s v="réparation du probleme d'injection gasoil et changement du pré filtre a gasoil a cause du melange d'eau avec gazoil "/>
        <s v="réparation crevaison pneu "/>
        <s v="sortie avec camion pour résourdre du probleme d'echauffement anormale moteur thermique et changement du durite d'eau _x000a_réparation et débouchage du radiateur _x000a_reinssage du circuit de refroidissement "/>
        <s v="changemnt du deux pneus ref 11R22,5 R187_x000a_( changemnt du references "/>
        <s v="répparation d'eclairage et changement des lampes "/>
        <s v="vidange d'huile moteur et graissage generale d'engin _x000a_changement du filtre a huile ref 343801_x000a_3923 h"/>
        <s v="réparation du fuite d'air et changement du prise rapide "/>
        <s v="changement du jeu du balai d'essuie glace "/>
        <s v="réparation du fute d'eau "/>
        <s v="vidange d'huuile moteur 15W40_x000a_réparation d'eclairage "/>
        <s v="Vidange d'huile moteur 15W40 ola huile _x000a_lavage et graissag d'ngin _x000a_284120 km"/>
        <s v="sortie pour réparation du probleme d'echauffement dhuile moteur _x000a_anormale temperature d'huile moteur _x000a_elimination du thermostat de refroidissement _x000a_,,,,,_x000a_vidange d'huile moteur afriquia huile _x000a_changement du filtre a huie et filtre a gasoil "/>
        <s v="sortie hors ste pour resoudre  du probleme electrique "/>
        <s v="réparation du freinage et changement _x000a_du pompe de frein avant "/>
        <s v="changement du pompe du grue de levage et desd raccord de fixation et manchon  _x000a_changement du prise de pompe de grue a comande pneumatique "/>
        <s v="vidange d'huile moteur15w40_x000a_lavage et graissage génrale d'engin "/>
        <s v="changement du kit réparation axe pivot d'essieu erriare _x000a_604 h "/>
        <s v="changeent des galets de monte charge "/>
        <s v="vidange d'huile moteur et changement du filtre a huile et filtre a gasoil _x000a_et filtre a air _x000a_205577 km"/>
        <s v="vidange d'huile ùmoteur 15w40_x000a_changement du filtre a huille et filtre a gasoil _x000a_et preiltre a gasoil _x000a_changement du jeu de courroie d'accessoires _x000a_déplacement a agadir pour déppanage du situation _x000a_289628km"/>
        <s v="réparation et débouchage du radiateur de refroidisement _x000a_déboouchage du cirucit de refroidissement "/>
        <s v="réparation d'alternateur de charge battrie et changement des cosse battrie "/>
        <s v="mise a niveau d'huile de boite vitesse "/>
        <s v="changement du contact de démarrage "/>
        <s v="changement du deux pneu avant ref 28-12,5/15"/>
        <s v="changement du battrie de démarrage 12 v c14_x000a_changement des cosse battrie "/>
        <s v="vidange d'huile moteur et changement du filtre a huile et filtre a gasoil et filtre a air _x000a_lavage et graissage generale d'eengin _x000a_233143 km"/>
        <s v="changement des chappe de direction et deux amortisseurs _x000a_des plaquettes de frein avant _x000a_deus amortisseurs arriere "/>
        <s v="vidange d'huile moteur 15W40_x000a_lavage et graissage generale dengiin _x000a_changement du filtre a huilez et gasoil _x000a_523300 km"/>
        <s v="peinture generale d'engin _x000a_changement du joint culasse _x000a_changement du pompe a eau _x000a_changement du deux pneu arriere occasion acchat du laferaille ment du jante arriere _x000a_vidange d'huile moteur 15W40_x000a_changement du cable d'accelerateur_x000a_changement du contact de démarrage _x000a_montage du plexyglace avant et arriere _x000a_débouchage du radiateur _x000a_réparation d'essieu arriere _x000a_12033 h"/>
        <s v="réparation du probleme au niveau du circuit de gasoil et changement du pré filtre a gasoil"/>
        <s v="réparation du fuite d'huile"/>
        <s v="changement du deux battrie de démarrage m15 a9"/>
        <s v="répatration d'eclairage et changemnet des lampes"/>
        <s v="changement du durite de liquide de refroidissement"/>
        <s v="réparation du probleme de freinage et changement des garniture de frein tracteur et plateau _x000a_des arrét de graisse moyeu de plateau _x000a_4 roullement de roue coté droit _x000a_2 came de reglage ferin tracteur _x000a_réparation d'eclairage _x000a_cabl spirale de remorquage "/>
        <s v="vidange d'huile moteur 15W40_x000a_changement du filtre a huile et filtre a gasoil _x000a_841868 km"/>
        <s v="réparation et tarage des injecteur s _x000a_changement du pompe d'injection récupereé du laferaille "/>
        <s v="réparation du freianage et changement des arrét de graisse _x000a_3 roullement de roue  _x000a_ goujon du roue arriere et avant _x000a_2  jeu de garniture de frein _x000a_réparatio et débouchache du radiateur _x000a_tarage des injecteur _x000a_changement du pompe de gasoil et filtre a gasoil _x000a_changement du master de frein _x000a_vidange d'huile moteur 15W40 _x000a_      744590 km_x000a_"/>
        <s v="mise a niveau d'huil moteur "/>
        <s v="réparation du fuite d'huuile hydraulique et mise _x000a_a niveau d'huile "/>
        <s v="changement du deux battrie de démarrage 12 M9_x000a_Vidange d'hile moteur 15W40_x000a_réparation du probleme au niveau du grue de levage et changement du vanne et filtre du grue _x000a_701924 km"/>
        <s v="réparaton d'eclairage "/>
        <s v="changement du quatre pneu ref 315/80R22,5 pour plateau_x000a_réparation d'eclairage "/>
        <s v="vidange d'huile moteur  15W40_x000a_95400 km"/>
        <s v="changemenet du couple conique endommage (achat du laferaile  ) ( abdou)_x000a_réparation du fuite d'huile "/>
        <s v="réparation du pare choc avant en polyster _x000a_ endommage a cause d'un accident _x000a_réparation d'eclairage et peinture du pare choc avant "/>
        <s v="réparation d'eclaiare et changement des lampes _x000a_vidange d'huile moteur 15W40_x000a_lavage et graissage generale d'engin _x000a_mise a niveau d'huile  de frein _x000a_642000"/>
        <s v="vidange d'huile moteur et lavage et graissage generale d'engin _x000a_305471 km"/>
        <s v="réparation du fixation du rous arriere droit _x000a_pour plateau et changemebnt des roullement "/>
        <s v="changement du deux pneu ref 12R22,5"/>
        <s v="changement du pipe d'eau  achat du laferaille "/>
        <s v="entretien systematique "/>
        <s v="vidange d'huile moteur 15W40_x000a_souflege du filtre a air _x000a_149600 km"/>
        <s v="réparation du fuite d'eau _x000a_vidange d'huile moteur 15W40_x000a_souflage du filtre a air _x000a_netoyyage et graisssage d'engin _x000a_854007 km"/>
        <s v="vidange d'huile mmoteur 15W40_x000a_lavage et graissage d'engin _x000a_250665 km"/>
        <s v="réparation du probleme de fuite de liquide de refroidissement et changement du pipe d'eau _x000a_et kit réparation du compresseur d'air comprimé _x000a_réparation d'eclairage et changement de deux optique avant g et droit _x000a_réparation d'eclairage _x000a_reparation du fixation des optique "/>
        <s v="réparation du fuite au noveau du filtre a air "/>
        <s v="vidange d'huile mmoteur 15W40_x000a_lavage et graissage d'engin _x000a_réparation du fixation du roue arriere droit _x000a_935 h"/>
        <s v="réparation d'eclairage et changementy des lampes "/>
        <s v="réparation du freinage et changent et changement du deux jeu de garniture de frein _x000a_des arrét de graisse moyeu rétroveseur coté  droit _x000a_support rétroveur coté gauche _x000a_jeu du balai d'essuie glece _x000a_réparation du silent bloc cabenne _x000a_vidange d'huile moteur 15W40_x000a_changement du deux pneu ref 11r22,5 c2s350807 / c2s530814_x000a_456700 km"/>
        <s v="réparation d'eclairage et changemment des lampes "/>
        <s v="réparation du probleme d'injection gasoil et changemen du filtre a gasoil _x000a_et des douille des injecteur récuperé du laferaille "/>
        <s v="vidange d'huile moteur 15W40_x000a_lavage et graissage generale d'engin _x000a_536000 km"/>
        <s v="vidange d'huile moteur 15W40_x000a_lavage et graissage generale d'engin _x000a_824800 km"/>
        <s v="en coure  de réparation"/>
        <s v="Changement du pedale de frein et réparation du fuite d'air "/>
        <s v="réparation du probleme d'injection gasoil _x000a_changement du pompe d'amorssage neuf GAT avec prefiltre _x000a_réparation crevaison pneu avant gauche_x000a_réparation d'injection gasoil _x000a_vidange d'huile moteur 15W40_x000a_20578 h"/>
        <s v="réparation du tole du carosseri et peinture du retouche arriere et avant "/>
        <s v="dépose et pose du moteur thermique  pour changé leur pompe a huile moteur et reglage du jeu de souppape _x000a_réparation du pot d'echappement changement du pochette joint complete et joint culasse _x000a_vidange d'huile d'huile moteur et changeement du filtre a huile et filtre a gasoil _x000a_3966 h"/>
        <s v="changement du kit moyeu arriere gauche"/>
        <s v="changemnt du filtre a air colmatté_x000a_12039 h"/>
        <s v="changement du deux pneus ref 11R22,5 "/>
        <s v="sotie hors sté pour déppanae du camion et changement du support cardon "/>
        <s v="vidange d'huile moteur 15W40 changement du filtre a huile et filtre a gasoil ET PREFILTRE  a gasoil _x000a_réparation du pare choc avant _x000a_215937 km"/>
        <s v="changement du filtre a air ref me073160"/>
        <s v="vidange d'huile moteur 15W40_x000a_lavage et graissage generale d'engin _x000a_4035"/>
        <s v="vidange d'huile moteur 15W40_x000a_26194 km"/>
        <s v="changement du filtre d'huile de boite de vitesse percee"/>
        <s v="changement du feu rouge arriere endommage a cause d'un accident"/>
        <s v="vidange d'huile moteur 15W40_x000a_lavage et graissage generale d'engin _x000a_3514 h"/>
        <s v="changement du deux pneu ref 250/70R12_x000a_Montage du plaque de plexyglace emplaceent du pare brise avant et arriere _x000a_vidange d'huile moteur 15W40_x000a_1593 h"/>
        <s v="réparation du fuite d'air et chagement des pneus 4 pneu ref 315/80R22,5 SCANIAcariere changement du criq de levage cabine _x000a_changement du pare brise aavant"/>
        <s v="vidange d'huile moteur 15W40_x000a_changement du _x000a_filtre a huile ref 2631145010 _x000a_ filtre a gasoil  ref 3194541002 _x000a_filtre a air  281305H002_x000a_104175 km"/>
        <s v="vidange d'huile moteur 15W40_x000a_changement du _x000a_filtre a huile ref 2631145010 _x000a_ filtre a gasoil  ref 3194541002 _x000a_filtre a air  281305H002_x000a_152913 km"/>
        <s v="changement du deux pneu ref 12R22,5_x000a_656400 km_x000a_jd1304986d_x000a_jdb04837d"/>
        <s v="peinture genarale d'engin "/>
        <s v="changement du quatre pneu ref 315/80R22,5 XMULTI_x000a_ plh 203329b_x000a_plh26015b _x000a_poh260032b _x000a_puh22843b"/>
        <s v="changement du jeu de courroie d'accessoires pour ventiateur et alternateur de charge battrie "/>
        <s v="vidange d'huile moteur et changement du filtre a huile et filtre agasoil et prefiltre a gasoil _x000a_760117 km"/>
        <s v="changement du deux jeu de plaquette avant et arriere _x000a_changement du quatre disque de frein avant et arriere _x000a_217600 km"/>
        <s v="changement du kit d'embrayage complet _x000a_disque et plateau et butée "/>
        <s v="sortie hors ste pour déppané le camion et réparation du probleme au niveau du transmission _x000a_changement du bite de vitesse _x000a_achat bon occasion _x000a_changement du butéé et disque d'embrayage "/>
        <s v="réparation d'alternateur de charge battrie "/>
        <s v="réparation du probleme de freinage et changement du pompe de frein _x000a_recupere du laferaile "/>
        <s v="réparation du fuite de leiquide de refrdoidissement "/>
        <s v="montage des cataphotes "/>
        <s v="miose a nivaeau d'huile hydrailique "/>
        <s v="réparation du fuite d'huile hydraulique "/>
        <s v="réparation du probleme d'injection gasoil _x000a_changement des poussoires avec plaque et deux culbuteur "/>
        <s v="rparation du fuite d'huile hydrulique et vidange d'huile du boite de vitesse _x000a_et pont arriere _x000a_et huile moteur _x000a_et huile du deux reducteur _x000a_724483 km"/>
        <s v="changement du battrie de démarrage 12V L3"/>
        <s v="changement des elemet de suspontion amortiseur av et ar +des chappe de direction +bielette de suspontion +triangle de suspontion +"/>
        <s v="changement ders feu de signalisation des cataphotes "/>
        <s v="réparation d'eclairage et changement ed lampes "/>
        <s v="entretien systemtique"/>
        <s v="vidange d'huile de boite de vbitesse t_x000a_vidange d'huile moteur 15W40 huile ola _x000a_264000 km"/>
        <s v="vidange d'huile moteur 15W40 huile ola _x000a_lavage et graissage generalke d'engin _x000a_548600 km"/>
        <s v="changement du deux pneu ref 12R22,5_x000a_serie JDB073D  /   JDB07368D"/>
        <s v="changement du kit réparation comprezsseur d'air comprimé _x000a_changement du déclecheur d'air adaptable _x000a_débouchage et netyage du circuit d'air comprimé _x000a_changement du deux ceinture de serrage reservoire gasoil _x000a_vidange d'&quot;huile moteur et changement du fitre a gasoil _x000a_45622 km_x000a_"/>
        <s v="changement du radiateur de liquide de refroidissement _x000a_changement du pompe d'alimentation gasoil _x000a_changement du filtre a air _x000a_vidange d'huile moteur 15W40_x000a_1090 h"/>
        <s v="changement du deux electovzlve "/>
        <s v="mise aniveau d'huile hydraulique aw 68"/>
        <s v=",vidange d'huile moteur 15W40_x000a_lavage et netoyage d'engin _x000a_souflage d filtre a air _x000a_1839 h"/>
        <s v="vidange d'huile moteur 15W40 huile ola _x000a_lavage et graissage generale d'engin _x000a_325000 km"/>
        <s v="changement du deux pneu ref 11R22,5 r187_x000a_serie c25781223  c25930735 "/>
        <s v="réparation du fuite de liquide de refroidissement _x000a_et changement d'antigel du circuit _x000a_vidange d'huile moteur 15w40 HUILE OLA _x000a_lavage et graissae generale d'engin _x000a_319000 km"/>
        <s v="changement du flexibe de lavage "/>
        <s v="changement du tirette de marche avan arriere_x000a_chagement du filtre a air _x000a_vidange d'huile moteur 15W40_x000a_1489 h"/>
        <s v="changement du  quatre pneu ref 145R13 "/>
        <s v="vidange d'huile moteur 15W40_x000a_lavage et graissage generale d'eengin _x000a_26402 h"/>
        <s v="changemlent des injecteur acheté du sté tractafric_x000a_reglage du jeu des soupape _x000a_réparaton du circuit ed gasoil "/>
        <s v="reparation des probleme au niveau du suspension _x000a_et changement des amortissurs avec des bielle de susontion et des triangle de suspontion _x000a_et bielle de suspontion _x000a_alternateur de charge battrie _x000a_peintuure du capot moteur et aile droit_x000a_plaquette de freina avrnt et disque de frein avant _x000a_des amortisseur arriere "/>
        <s v="réparation du proleme de freinage et changemenet des joiit d'etanchiete pour disque de frein et deux plateau de serrage et deux disque de frein ( deux jeu ) pour pont avant _x000a_réparation du démarrege et reglage du jeu de soupape"/>
        <s v="réparation 'eclairage et cangement des lampes "/>
        <s v="vidange d'huile moteur et changement du filtre a huile et filtre a air et filtre a gasoil_x000a_173400 km"/>
        <s v="peinture generale d'engin _x000a_changement du feu rouge arriere droit "/>
        <s v="vidange d'huile moteur et changement du filtre a huile et filtre a air et filtre a gasoil_x000a_314239 km"/>
        <s v="changement du pompe de fren achat du piece adaptable _x000a_mise a niveau d'huile de frein "/>
        <s v="réparation du dé&quot;marreur et changement du jeu des bagues et relai démarreur _x000a_réparatio fuite d'huile hydraulique "/>
        <s v="réparation du fuite d'huile et changementr du joint culasse et joint du cache soupepe _x000a_reglage du jeu de soupepe _x000a_vidange d'huile moteur et graissage llavage genarale d'eb*ngin _x000a_556000 kml"/>
        <s v="réparation du moteur thermique et changement _x000a_du pochette joint complet des joint des joint des chemise _x000a_des couussinet de bielle et jeu des segment _x000a_du pompe a eau _x000a_joint culasse _x000a_contrôle des chemise "/>
        <s v="réparation du démarrage et changement dees coses kbattrie "/>
        <s v="changeent du kit d'embrayage complet disque d'embrayage et plateau de serrage et butée _x000a_changemment du deux tambour de frein et garniture de frein avant avec arrét de graisse moyeu de roue _x000a_kit réparation master de frein _x000a_111600 km"/>
        <s v="changeent des lampes et réparation d'eclairage "/>
        <s v="réparation du freinage et changement des garniture defrein _x000a_jeu avant _x000a_et quatre tambour de frein _x000a_neuf _x000a_4 arrét de graisse _x000a_jeu de garniture de frein coyté avant _x000a_kit d'embrayage complet _x000a_kitde réparation mester de frein _x000a_2  croisilon de cardon _x000a_"/>
        <s v="changement du joint du pneu tubleeesse "/>
        <s v="réparation du probleme de démarrage et changement des cosses battrie 0"/>
        <s v="vidange d'huile moteur 15w40_x000a_réparation du fuite de gasoil_x000a_20694"/>
        <s v="changement du kit compresseur d'air comprimé _x000a_déclencheur d'air  adaptable _x000a_réparation d'eclairage "/>
        <s v="changement du plaque de distreibution avant avec joint "/>
        <s v="changement du quatre pneu ref 315/80R22,5 xmulti hdz"/>
        <s v="sortie hors sté et reparation du probleme d'embrayage et changement du disque d'embrayage marque adapteble "/>
        <s v="réparation du fuited'air  et chanelment des prise rapide"/>
        <s v="changemlent du kit réparation d'e moyeu de roue coté arriere gauche"/>
        <s v="changment du joint de culasse _x000a_et contrôle du culasse "/>
        <s v="réparation du probleme au niveeau du boite de vitesse "/>
        <s v="réparation du flexible hydraulique et cangement du flexible hydraulique "/>
        <s v="réparation du probleme de freinage et chengement du vase d'expantion "/>
        <s v="changement du deux pneu ref 10*16,5/8"/>
        <s v="réparation du fixation du chaine de levage "/>
        <s v="sortie hors sté pour réaparation du camion renault _x000a_dépose et pose du miteur thermique pour change leur _x000a_des poussoires endommagée _x000a_arbre a came _x000a_pochette joint complet _x000a_pompe a huile moteur _x000a_kit d&quot;embrayage complet _x000a_pompe a eau  capteur de posision moteur manometre d'hile moteur _x000a_vidange d'huile moteur et changement du filtre a huile _x000a_743000 km"/>
        <s v="réparation du tachygraphe "/>
        <s v="vidange d'huile moteur 15w40_x000a_changement du filtre a gasoil et filtre a huile moteur _x000a_563250 km"/>
        <s v="changement du jeu de garniture de frein arriere _x000a_reglage du frein avant _x000a_"/>
        <s v="réparation d'essieu arriere changeent des chappe de direction et des rotule de direction et des bagues usée _x000a_changement du kit moyeu de roue _x000a_changement du axe moyeu de roue arriere droit"/>
        <s v="répareation du probleme de freinage et reglage du jeu de freinage "/>
        <s v="changement du kit moyeude roue arriere droit"/>
        <s v="réparation du probleme de transmission et changement du boite de vitesse achat bon occasion _x000a_"/>
        <s v="réparation du probleme de refroidiisement moteur et réparation du fuite d'eau"/>
        <s v="sortie hors ste pour réparation du probleme de fuite d'huile d'embrayage au niveau du pompe d'embrayage inferieure "/>
        <s v="sortie hors ste pour déppanage du camion e changement de deux courroie de ventulateur et pompe"/>
        <s v="changement du deux jeu de garniture de frein _x000a_rectification des tambour de frein _x000a_vidange d'huile mmoteiur _x000a_changement des filtre a huile et filtre agasoil _x000a_836200 km "/>
        <s v="réparation du fixation de chaine ellimination du verin laterale "/>
        <s v="réparation des elemnt de suspention "/>
        <s v="changement du support cardon_x000a_lavag et graissage generale d'engin "/>
        <s v="réparation du probleme de pont avant pour marche avant arriere _x000a_récuperation du pont avant du chariot elevateur linde H40_x000a_pour essaie _x000a_"/>
        <s v="changement du deux support cardon et 3 crosillon de cardon _x000a_réparation du frein de stationnement _x000a_vidange d'huile moteur 15 W40_x000a_vidange d'ehuiele de boite de vitsees et pont arriere _x000a_161800 km"/>
        <s v="dépose du boite de vitesse pour changé leur pompea huile et changement du distributeur de marche avant erriere  et joint du distributeur  _x000a_vidange d'huile moteur etchangement du filtre a huile _x000a_1851 h"/>
        <s v="changement du relais démarreur _x000a_réparation du fute d'huile _x000a_réparation du fuite d'huile "/>
        <s v="changement du deux battrie ref l5_x000a_reparation d'eclairage "/>
        <s v="réparation du problème de démarrage et changement du flasque de démarreur _x000a_réparation du fute d'eau "/>
        <s v="réparation d'eclairage e&quot;t changement des lampes "/>
        <s v="R2PARATION DU PROBLEME DE MARCHE AVANT ARRIERE AU niveau du boite de vitesse _x000a_changement du pompe d'huile de boite de itesse _x000a_achat bon occasion "/>
        <s v="réparatin d'eclairageet changeùent des lampes "/>
        <s v="réparation du fuite d'eau et changement du durite dde liquide de refroidissement "/>
        <s v="vidange d'ehuile moteur 15W40_x000a_lavage et graissage generale d'engin _x000a_réparation du fuite d'huile "/>
        <s v="vidange d'huile moteur 15W40_x000a_lavage et graissage dengin _x000a_241900 km"/>
        <s v="vidange d'huile moteur 15W40_x000a_réparation du fuite d'air _x000a_lavage et graissage d'engin _x000a_773522km"/>
        <s v="lavage du circuit de refroidissement moteur _x000a_réparation du fuite d'eau "/>
        <s v="changement de jeu de courroie d'alternateur complet"/>
        <s v="vidange d'huile moteur et lavage du circuite de refroidissement _x000a_lavage et graissage generale d'engin _x000a_48300 km"/>
        <s v="réparation du flexible d'huile et changemnt du flexible "/>
        <s v="vidange d'huile teur et changement du jeudes filtres _x000a_filtre a huile ref 1109ay_x000a_filtre a gasoil ref 980971080_x000a_filtre a air ref 1444tv_x000a_225000 km"/>
        <s v="changement du pompe d'huile moteur "/>
        <s v="vidanged'huile moteur 15w40_x000a_ cangement du filtre a huile ref ME034611_x000a_filtre a gasoil ME 016841_x000a_687800 KM"/>
        <s v="changement du deux pneu ref 315/80R22,5_x000a_HHB13593A HHB13049A"/>
        <s v="changemebt du deux pneu ref 11R22,5_x000a_jante ref 11R22,5_x000a_E2S870412_x000a_E2S870227"/>
        <s v="changement du deux battrie de démarrage 12V l 5 _x000a_réparation declairage"/>
        <s v="réparation du fuite d'air comprimé _x000a_montage du klaxon _x000a_changement du jeu de balai d'eesuie glace "/>
        <s v="changement du kite reparation du moyeu de roue "/>
        <s v="réparation d'ecmlairage et cjhangement des lampes "/>
        <s v="réparatoion du fuite d'air et changement du flexible "/>
        <s v="vidange d'huile moteur 15W40_x000a_lavage et graissage generale d'engin _x000a_changement du filtre a air _x000a_26600 h"/>
        <s v="changement du pont avant complet_x000a_achat du pont avant du laferaile et montage du vendeur "/>
        <s v="réparation du fuite d'huile et changement du flexible hydraulique pour circuit de direction assisté"/>
        <s v="réparation du fuite d'ea&amp;u au niveau du pipe d'eau pour déplacé le camion a laferaile au but de changé lacabine et réparation du carosserie _x000a_réparation du probleme au niveau dumoteur thermique "/>
        <s v="changement duu deux jeu de garniture de frein et rectification des tambour de frein _x000a_chngement des roullement de roue arriere complet _x000a_des arrét de graisse _x000a_"/>
        <s v="dépose et pose du culasse _x000a_et changeent des sleves des injecteurs _x000a_changement des guides soupape des soupape des siege soupape _x000a_des soupape d''admision et d'echappement _x000a_pochette roudage et joint culasse "/>
        <s v="mise a niveau d'hhuile hydraulique AW68"/>
        <s v="réparation d'eclairage et changement des lames "/>
        <s v="changement du deux pneu ref 205/75R17,5_x000a_XZM124122  /  MVG MI"/>
        <s v="dépose du boite de vitesse et démontage des pieces de boite de vitesse "/>
        <s v="changement du deux jeu de garniture de frein av et ar  et changement des roullement de moyeu pour essieu arriere _x000a_et des arrét de graisse et _x000a_plaque de refrigerant moteur _x000a_"/>
        <s v="démontage et montage de moyeu de plateau _x000a_pour graissage et réparation "/>
        <s v="changeent du jeu de courroie de distribution moyeu et jeu de courroie d'ccessoires "/>
        <s v="Achat convertisseur en cours"/>
        <s v="Vidange + chgt filtre gasoil filtre à huile et filtre à air_x000a_2650h"/>
        <s v="changement du deux tondeur de chain confection par ATT"/>
        <s v="réparation du probleme de melange eu et gasoil _x000a_changement du chambre des injecteur et des siege souipape et guide soupape _x000a_changemnt des soupape d'admission et d'echappement _x000a_changement du durite de liquide de refroidissement _x000a_20825 h_x000a_"/>
        <s v="changement du flkexible percé"/>
        <s v="réparation d'eclairage et changement des lapmpes "/>
        <s v="changement du pompe d'embrayage superieur _x000a_et purge du circuit d'huile de'embrayage "/>
        <s v="vidange d'huile moteur 15W40_x000a_lavage et graissage generale d'engin _x000a_344540 km"/>
        <s v="changement du deux pneu ref 315/80R22,5_x000a_PH197708  /  PUH21210B  /  PUH212288P"/>
        <s v="réparation d'eclaireg et changeùent des lampes_x000a_changement du klaxon 24 v "/>
        <s v="sortie hors societe pour réparé et changé le moyeu de roue endommagé (moyeu de roue acheté bon occasion )_x000a_avant droit "/>
        <s v="peinture du plateau et soudage des fissures et du caisse d'outillage et _x000a_changement du moteur thermique achat bon occasion _x000a_changement du cabine acheté bon occasion_x000a_réparation duprobleme d'injecton gasoil  _x000a_787700 km"/>
        <s v="réparation du suspention et changement deudeux amortisseur avant "/>
        <s v="reparation du fuite d'air et changement de flexible de gonflage et flexible d'air comprimé"/>
        <s v="changement du cabine et moteur tharmique achat du laferail et mointage hors sté _x000a_réparation u probleme d'injection gasoil _x000a_après l'achat du moteur "/>
        <s v="changement du cardon de levier de distributeur hydraulique et réparation et réparation u fuite hydraulique "/>
        <s v="changement du courroie d'alternateur de charge battrie _x000a_camion panne a rabat"/>
        <s v="réparation du probleme de temperatre de moteur thermique et changement des chemise avec joint _x000a_débouchage du radiateur _x000a_cangemnt du thermostat de refroidissement _x000a_changement des souppe et siege soupape et guide soupape _x000a_contrôle du culasse _x000a_vidange d'huile moteur et changement du filtre a huil et filtre a gasoil _x000a_changemnt u jeu de balai d'esuie glace _x000a_472000 km"/>
        <s v="vidange d'huile moteur 15W40_x000a_lavage et graissage generale d'engin _x000a_26927 h "/>
        <s v="vidange d'huile moteur 15W40_x000a_lavage et graissage generale d'engin _x000a_362352 km _x000a_réparation d'eclairage "/>
        <s v="réparation du probleme de levage du grue _x000a_déplacement du camion a sté (wafa hydraulique )_x000a_changement du pompe hydraulique et distributeur de levage du grue _x000a_réparation des fuiutes et changement des flexible hydraulique _x000a_"/>
        <s v="vidange d'huile moteur et lavage grauissage genarale d'engin _x000a_589600 km"/>
        <s v="changement du vitre laterale endommage a cause d'un accident "/>
        <s v="changement du joint cuasse et reoudage des soupape _x000a_changement du pochette roudage et réparation et débouchage du radiatur _x000a_vidnge d'huile moteur _x000a_24120 h"/>
        <s v="changement du deux amortisseur endommagé "/>
        <s v="changement du jeu du courroie d'accessoires avec tondeur et jeu du courroie de distribution "/>
        <s v="changement  du durite d'ir de turbo compresseur "/>
        <s v="confection  et soudage du godet de balayeuse "/>
        <s v="réparation du pare choc arriere a  cause d'un accident "/>
        <s v="changement du deux battrie de démarrage 12V M8 VARTA_x000a_changement du jeu de balai d'esuie glace "/>
        <s v="changement du deux moyeu de roue arriere plateau complet avec de roulllement et des arrét de graisse _x000a_réglage du jeu de garniture de frein _x000a_réparation d'eclairage "/>
        <s v="sortie hors sté pour depanage du camion et changé leur support cardon "/>
        <s v="changement du support cardon hors sté"/>
        <s v="changemnt du jeu de plaquette de fein avant"/>
        <s v="changement du kit d'embrayage complet_x000a_ et changement des joint de collecteur d'echappement _x000a_"/>
        <s v="changment du jeu de garniture de frein arriére et jeu de plaquette de frein avant "/>
        <s v="vidange d'huile moteur _x000a_lavage et graissag generale d'engin _x000a_125000km"/>
        <s v="réparation et mise a nouveau du moteur thermique et changement du plaque avant (aferaile du sté  avec vilebrequin ) _x000a_changement du jeu de segment et coussinet de bielle été vilebrequin _x000a_changement du pompe a huile moteur _x000a_des chemise de group moteur _x000a_vidange d'huile moteue et changement dufiltre a huile et gasoil _x000a_35421 H"/>
        <s v="vidange d'huile moteur _x000a_lavage et graissag generale d'engin _x000a_changement d jeu de balai d'essuie glace_x000a_762300km"/>
        <s v="vidange d'huile moteur _x000a_lavage et graissag generale d'engin _x000a_263000km"/>
        <s v="réparation du fuite de gasoil et changement du tuyau d'ijection gasoil et refrigerant d'huile moteur et deux porte de cabine _x000a_changement d'appareille d'air comprimé du plateau et dessiateur d'air _x000a_"/>
        <s v="changement du deux pneu ref 3158/80R22,5"/>
        <s v="changement du venteuse de cabine coté av g _x000a_et ressort de cabine avg et vanne de purge flacon d'air "/>
        <s v="réparation du serrure de porte arriére "/>
        <s v="réparation du mécanisme de leve glace  (réparation a coreaa )"/>
        <s v="vidange d'huile moteur 15W40_x000a_réparation du fuite d'huiole hydraulique _x000a_graissag generale d'engin et souflage du fultre a air _x000a_271000 km"/>
        <s v="changement du kit d'embrayage complet _x000a_disque et butéé et plateau de serrage_x000a_vidange d'huile moteur et changement du filtre a huile et filtre a gasoil _x000a_174500 km"/>
        <s v="changement du pont avant edomagé ( achat du laferaille ) achat et montage extr"/>
        <s v="changement du flexible d'air comprimé"/>
        <s v="changement du jeu des balai d'esuie glace _x000a_changement du klaxon 24 v"/>
        <s v="changeent du jeu du plaquette de frein avant _x000a_et jeu de garniture de frein arréire "/>
        <s v="réparation du fuite d'air et changement du durite d'eau "/>
        <s v="changement du deux pneu ref 205/70R17,5_x000a_128020 km"/>
        <s v="changemlent du deux pneu ref 11R22,5_x000a_765760 km"/>
        <s v="vidange d'huile moteur et changement du filtre a huile et filttre a gasoil _x000a_et prefiltre a gasoil 513600 km"/>
        <s v="vidange d'huile moteur et changement du filtre a huile et filtre a gasoil 3150h"/>
        <s v="réparation d'eclairage et changement du plaque de limiotation vitesse _x000a_"/>
        <s v="réparation d'eclairage et changement du feu rouge arriere  cabouchon "/>
        <s v="changemet du relai contact de démarreur "/>
        <s v="changement du flexible d'huile hydraulique"/>
        <s v="changement du battrie de démarrage 12V l5"/>
        <s v="peinture du deux porte du cabine "/>
        <s v="réparation des element du suspontion et changement des amortisseur et des tringle de suspention ,des bielle de suspention _x000a_des silent bloc _x000a_rotule de triangle _x000a_deux roulement de roue avant droit et gauche _x000a_changement du deux pneu tublesse 205/65r15_x000a_"/>
        <s v="Vidange d'huile moteur et changement du fioltre a huile ref tf63_x000a_filtre a gasoil 17937_x000a_filtre a air r418_x000a_lavage et graissage genarale d'engin _x000a_4750 h"/>
        <s v="changement du filtre a air 21337557"/>
        <s v="Vidange d'huile moteur et changement du fioltre a huile ref tf63_x000a_filtre a gasoil 17937_x000a_filtre a air r418 et r178_x000a_lavage et graissage genarale d'engin _x000a_4977 h"/>
        <s v="changement dix galet de rampe et jeu des bagues de démarreur _x000a_jeu des charbon _x000a_bendix de démarreur _x000a_des rotule du chariot de levage 45 mmm"/>
        <s v="chanegement des lampes et des fusible a lame _x000a_changeement d'optique avandroit et deux feu de signale avant droit et avant gauche "/>
        <s v="changementdes bagues de démarreur _x000a_jeu des charbon _x000a_bendix de démarreur _x000a_changement du battrie de démarrage 12Vf5_x000a_klaxon 12V_x000a_flexible double de verin laterale "/>
        <s v="vidange d'huile moteur 15W40_x000a_changement du _x000a_filtre a huile ref 2170713132_x000a_et filtre a gasoil  p21988765_x000a_frefiltre a gasoil p22988765_x000a_362719 km"/>
        <s v="vidange d'huile moteur et changement du filtre a huile ref 263304a001_x000a_filtre a gasoil 319224h950_x000a_filtre a air 281134f000_x000a_84300 km"/>
        <s v="changement du deux battrie de démarrage  12v l5"/>
        <s v="changement du deux roulement de pignon d'attacke et arrét d'huiile "/>
        <s v="changement du battrie de démarage 12V70A L3"/>
        <s v="Changement du manocontact du feu de stop _x000a_vidange d'ehuile moteur et changement du _x000a_filtre a huile ref me034611 _x000a_filtre  gasoil ref me016841_x000a_filtre a air ref me073160_x000a_604700 km"/>
        <s v="changement dubquatre pneu ref 124R22,5 xz_x000a_serie _x000a_SDB06502D_x000a_SDB05421D_x000a_SDB06543D_x000a_SDB06520D_x000a_791000 KM"/>
        <s v="changement du deux jeu de plaquette de frein pour tracteur _x000a_et vdeux disque de frein pour essieu arriere tracteur _x000a_changement du quatre pneu ref 315/80R22,5_x000a_serie HHY0217E_x000a_HHY02080E_x000a_HHY02038E_x000a_HHY02177E"/>
        <s v="changement du courroie d'alternateur de charge battrie et tondeur du courroie a cause d'emdomagement du moto clim _x000a_changement du moto clim et remmplissage du gaz de clim _x000a_"/>
        <s v="vidange d'huile moteur et changemen_x000a_du filtre a huile ref _x000a_filtre a gasoil ref 81125030086_x000a_filtre a air ref 81084050021_x000a_graissage genrale d'engin _x000a_793500 km"/>
        <s v="renouvation du godet du brosse de balayage _x000a_changement du tole du godet et elimination des fuites "/>
        <s v="changement du courroie de refroiodissement moteur 13*1400"/>
        <s v="vidange d'huile moteur et changeent du filtre a huile ref elh4332_x000a_filtre a gasoil ref c446_x000a_filtre a air a1097_x000a_264800 km"/>
        <s v="Changement du manocontact du feu de stop _x000a_vidange d'ehuile moteur et changement du _x000a_filtre a huile ref me034611 _x000a_filtre  gasoil ref me016841_x000a_filtre a air ref me073160_x000a_ 713600km"/>
        <s v="réparation d'essieu arriere et changement des rotule de direction et des kit réparation axe pivot et axe fusee _x000a_chagement du joint culasse et réctification du culasse _x000a_changement du vase d'expansion "/>
        <s v="changement du pompe a eau _x000a_et changement du pochette roudage joitn culasse et réparation d'essieu arriere"/>
        <s v="rééparation du probleme de refroidissement moteur et changement du coupleur de ventilateur et tondeur du courroie "/>
        <s v="réparation du probleme d'injection gasoil _x000a_netoyage du reservoir de gasoil _x000a_changement du filtre a gasoil et prefiltre gasoil _x000a_changement du support du prefiltre a gasoil _x000a_"/>
        <s v="changement du jeu de courroie d'aaccessoires et jeu du courroie de distribution moteur avec todeur _x000a_vidange d'huile moteur et changeent du filtre a huile ref 1109ay _x000a_filtre a gasoil ref 98072160_x000a_filtre a air ref 1444tv_x000a_240100 km"/>
        <s v="réparation du pompe a gasoil a sté casadiesel _x000a_changement du filtre a gasoil et changement_x000a_du pompe d'ebrayage superieur"/>
        <s v="réparation du pompe de grue de levage a sté wafa benne _x000a_réparation du radiateur "/>
        <s v="changement du boite a vitesse (achat bon occasion)"/>
        <s v="changement du deux jeu de plaquette de frein pour tracteur _x000a_changement du deux jeu de garniture de frein pour plateau graissage des moyeu de roue arriere _x000a_graissage generale d'engin "/>
        <s v="changement du jeu ddes goujon de roue arriere droit "/>
        <s v="chngemnt du cointact de démarage "/>
        <s v="changement du deux jeu de garniture de frein _x000a_alesage des tambour de frein _x000a_jeu de machoir de frein _x000a_kit de cylindre de frein arriere _x000a_vidange d'huile moteur et changement  du filtre a huile2631145010_x000a_ et filtre a gasoil ref 3194544002_x000a_134700 km"/>
        <s v="changement du battrie de démarrage 12Vf5"/>
        <s v="changement du jeu de garniture de frein _x000a_changement des ikit réparation master de frein _x000a_des arrét de graisse _x000a_pompe de direction _x000a_goujone de roue arriere _x000a_boitier de direction "/>
        <s v="sortie hors sté pour réparation du probleme de refroidissement du moteurt  et _x000a_changement du courroie d'alternateurde charge_x000a_et pompe a eau"/>
        <s v="changement du deux pneu usee arriere ref 23*9/10"/>
        <s v="montage du vitre de plexyglace avant et arriere"/>
        <s v="changement du quatre roulement pour plateau et graissage generale des moyeu de roue"/>
        <s v="changement du deux filtre a gasoil et netoyage du circuit de gasoil et netoyage generale du circuit avec reservoire de gasoil _x000a_"/>
        <s v="changement du deux disque de frein avant et deu jeu de garniture  de frein avant "/>
        <s v="²en cour"/>
        <s v="changement du jeu de plaquette de frein avant "/>
        <s v="changement du soupport voalant de direction"/>
        <s v="changement du deux pneu ref 12R22,5 XZ_x000a_serie _x000a_TDB03557D_x000a_TDB30384D_x000a_734100 KM"/>
        <s v="camion panne a anassi _x000a_réparation du probleme d'injection gasoil "/>
        <s v="changement du quatre pneu ref 315/80R22,5 x multi _x000a_serie _x000a_GHY01950_x000a_HHY00875E_x000a_HHY00709E_x000a_HHY033499E_x000a_54500 KM"/>
        <s v="réparation d'eclairage et changeùent des lampes "/>
        <s v="changement du jeu du balai d'suie glace _x000a_montage dutuyau de souflage et netoyage "/>
        <s v="changement d'alternateur de charge battrie "/>
        <s v="réparation d'eclairage et hangement des lapes "/>
        <s v="changement du ventulateur de refroidissement et coupleur de ventilateur"/>
        <s v="réparation des elemnent de suspontion chez trans rajboun _x000a_essieu avant tracteur "/>
        <s v="réparation du fuite de gasoil et changement tuyau de gasoil _x000a_vidange d'huile oteur _x000a_reinssage du liquide de refroidissement  et  mise au point d'antigel _x000a_réparation d'eclairage _x000a_28003 h"/>
        <s v="peinture generale du carosserie _x000a_reparation et dressage _x000a_des pieces endommage a cause d'une accident _x000a_"/>
        <s v="réparation des jeux au niveau d'essieu arrier _x000a_(réparatuion d'essieu par ARI )"/>
        <s v="changement du deux jantes ref 11R22,5 _x000a_changement du pompe d'amossage _x000a_changement du jeu de balai d'essuie _x000a_coupleur de ventilateur "/>
        <s v="réparation du fuite d'eau et changement des pastille du groupe _x000a_réparation du fuite d'huile hydrauliquee "/>
        <s v="reparation des probleme de peinture et dressage du tole endommage a cause d'un accident "/>
        <s v="taraged et réparation des injecteur _x000a_réparation du pompe dinjection gasoil "/>
        <s v="réparatio d'alternateur de charge battrie "/>
        <s v="changement du deux jeu de fiche usure plaquette de frein "/>
        <s v="changement du barre de direction court"/>
        <s v="changement du pompede frein pour voiture dacia khalil"/>
        <s v="changeùment du coupleur de ventilateur de refroidissemnt "/>
        <s v="diagnostique et réparation du probleme d'air comprimé "/>
        <s v="changement du courroie de charge battrie "/>
        <s v="contrôle de source de probleme mauvais rendement oteur _x000a_et changement du kit d'embayage complet"/>
        <s v="mise a nouveur du chariot t ellimination des fuites hydraulique _x000a_changement du moteur thermique achat du laferaille "/>
        <s v="changement d'essieu arriere complet achat du laferaille _x000a_changement du deux pneu arriere _x000a_probleme au niveua du comande electronique _x000a_intervention sous reserve du sté SRM"/>
        <s v="vidange d'huile moteur et cangement des filtre a gasoil _x000a_lavage et graissage geneale d'engin "/>
        <s v="changement du roullement du roue arriere droit "/>
        <s v="vidange d'huile moteur 15w40 "/>
        <s v="changement du pochette roudage _x000a_changemùent dupalier du croisillon _x000a_et croisillon du cardon "/>
        <s v="changement du kit réparation moyeu de roue arrier "/>
        <s v="réparation du probleme de démarrae moteur et changeent du relai démarreur"/>
        <s v="changement du deux jeu de garniture de frein _x000a_changement des master de frein avant et raglage du jeu de frein avant et arriere "/>
        <s v="réparation du probleme de démarrage et changement des joint torique "/>
        <s v="sortie hors ste pour réparation du fuite d'air comprimé "/>
        <s v="changement d'essieu arriere complet achat du laferaille"/>
        <s v="changement du deux venteuse de frein pour plateau "/>
        <s v="reinssage de liquide de refroidsissemnt "/>
        <s v="vidange d'huiile moteur et changement des filtre a hiuuile gasoil et prefiltre a gasoil "/>
        <s v="réparation du fixation du reservoire gasoil "/>
        <s v="vidange d'huile moteur _x000a_lavage et graissage generale d'engin "/>
        <s v="changement du refrigerant d'huile moteur et reparation du probleme de refroidissemnt _x000a_reinssage  du circuit d'eau "/>
        <s v="vidange d'huile du boite de vitesse    "/>
        <s v="changement du ventilateur de refroidissement _x000a_réparation du fixation courroie"/>
        <s v="changement des kit réparation du deux verin hydraulique de direction _x000a_wafabenne "/>
        <s v="réparation du porte arrire et pentire du pare cho arrire "/>
        <s v="réparation du freinage et changement du jeu de garniturer de frein et kit réparation master de frein arrier et quatre master de frein avant_x000a_changement du kit d'embrayage complet"/>
        <s v="changement du moteur thrmique achat du l'aferaille changementdu  radiateur de refroidissement _x000a_"/>
        <s v="changement du prise de force pour pompe de grue de levage"/>
        <s v="réparration d'eclairage et chagement des lampes "/>
        <s v="sortie hors sté pour changement des brisdes de serrage des ressort a lame "/>
        <s v="vidange d'ehuile moteur 15w40  "/>
        <s v="réparation du fixation du reservoire de gasoil "/>
        <s v="reparation des element de suspontion et changement des amortisseurs avant et des amortisseur arriere _x000a_changement des bielette de suspontion _x000a_changement du jeu de plaquette avant et desz garniture arriere _x000a_changement du jeu de balaie d'essuie gmlace "/>
        <s v="réparation du pompe a gasoil a ste casa diesel "/>
        <s v="réparation des fuites au niveau de dlexible hydraulique "/>
        <s v="chagement du quatre pneu ref 315/80R22,5"/>
        <s v="chgangement du jeu du balai d'esuie glace "/>
        <s v="changement du deux battrie de démarrage 12v l5 "/>
        <s v="changement du joint du pompe de grue de levage _x000a_reparation du fuite au niveau moteur "/>
        <s v="réparation du preobleme de freinage et réglage du jeu de frein _x000a_changement du liquide de refroidissemùent _x000a_réparation du fuite d'huile moteur"/>
        <s v="réparation d'eclaige et changement des lampes "/>
        <s v="changement du moteur thermique (achat du laferaille )_x000a_changement des flexibles hydraulique _x000a_changement des filtres et vidange d'huile moteur _x000a_28300 h"/>
        <s v="vidange d'huile moteur 15w40_x000a_lavage et graissage genarale d'engin _x000a_160600 km"/>
        <s v="confection du caisse d'outillage _x000a_changement du pare brise avant "/>
        <s v="dressage et peinture du parchoc arriere "/>
        <s v="réparation des element de suspention endommagé "/>
        <s v="démotage generale d'engin pour mise a nouveu _x000a_et changement du moteur thermique _x000a_achat du laferaille _x000a_changement du pompe a eau _x000a_changement des flexible _x000a_changement des durite _x000a_on cour de réparation"/>
        <s v="changement de deux battrie de démarrage l5 "/>
        <s v="vidange d'huile moteur et changement _x000a_du filtre a huile 2654403_x000a_filtre a gasoil 26561117_x000a_filtre a air rm 954_x000a_filtre ahydraulique 561749 nf_x000a_2840 h_x000a_"/>
        <s v="réparation diu fixation du cardon de transmission _x000a_mise a niveau d'huile hydraaulique _x000a_changement du croisillon du cardon n"/>
        <s v="vidange d'huile poteur et changement du filtre a huile ref 01174416_x000a_filtre a gasoil ref 1174696_x000a_changement du démarreur 12 complet _x000a_4800 h_x000a_"/>
        <s v="vidange d'huile moteur et changeent du filtre  a huile ref me 034611_x000a_filtre a gasoil ref me 073160_x000a_filtre a air meme 073160_x000a_814000 km"/>
        <s v="changement des cosses battrie et mise a niveau d'eau de battrie _x000a_réparation d'eclairtage et changement des lampes "/>
        <s v="vidange d'huile moteur et changement du filtre a huile et filtre a gasoil et filtre a air _x000a_197000 km"/>
        <s v="reparatyion de freinage et changement des plaquette _x000a_des master de freinarriere_x000a_changement du cable de freina a main"/>
        <s v="changement des vis de fixation du cardon de transmission"/>
        <s v="réparation du prise de force et changement de leur joint _x000a_vidange d'huile de boite a vitesse _x000a_réparation du fuite d'air comprimé _x000a_"/>
        <s v="changement du filtre a huile colmaté (marque adaptable )_x000a_raparation du fuite d'huile hydraulique _x000a_graissage et lavage genarale d'engin "/>
        <s v="changemen du deux optique avant "/>
        <s v="changement du reservoire gasoil achat du laferaille "/>
        <s v="vidange d'hguile moteur et changement du filtrea gasoil et antigel _x000a_691000 km"/>
        <s v="changement du reservoire de gasoil _x000a_achat du laferaille _x000a_réparation et changement du fixation du reservoire "/>
        <s v="dépose et pose du radiateur pour réparatiion a sté redouane radiateur _x000a_réparation du fuite d'air comprimé au niveau du venteuse de frein arriere "/>
        <s v="depose du radiateue pour réparé a ste redouane _x000a_"/>
        <s v="cangement du pompe a eau _x000a_réparation du fuite a air "/>
        <s v="montage du plexyglace au lieu du pare brise avant "/>
        <s v="réparation du fuite d'air comprime _x000a_changement du klaxon 24 v baboucha"/>
        <s v="changement du klaxon 24 v baboucha _x000a_réparation d'eclairage et changement des lampes "/>
        <s v="réparation du fuite de gasoil "/>
        <s v="changement de klaxon _x000a_réparation des fuites d'air "/>
        <s v="changement du quatre pneu ref 10R22,5 "/>
        <s v="vidange d'huile moteur et changement du filtre a huile et filtre a gasoil _x000a_877000 km"/>
        <s v="réparation du fuite d'huile hydraulique _x000a_soudage du flexible "/>
        <s v="réparation du probleme de freinage e changement de jeu de plaquette de frein  et des fiche d'usure plaquette "/>
        <s v="changement du venteuse de cabine aarriere droit "/>
        <s v="changement du jeu detuyau spirale et deux jeu de main d'acoupplement _x000a_changement des cosses battrie _x000a_changement du phare secour "/>
        <s v="changement du plaque de plexyglace "/>
        <s v="vidange d'huile moteur et mise a niveau d'huile hydraulique "/>
        <s v="changement du liquide de refroidissement _x000a_antigel afriquia"/>
        <s v="changement du deux cosse battrie "/>
        <s v="changement du flexible percé _x000a_mise a niveau d'huile hydraulique aw 68 _x000a_105 l"/>
        <s v="changement du venteuse de frein "/>
        <s v="réparation du probleme de fuite d'huile moteur au niveaucarter d'huile moteur_x000a_vidange dhuile moteur 15W40"/>
        <s v="changement du deux feu rouge arriere gauche et droit _x000a_changement du bouchon adblue _x000a_changement du cbouchon reservoir gasoil "/>
        <s v="vidabge d'huile moteur et changemlent du filtre a _x000a_huile ref 1109AY_x000a_filktre a gasoil ref 9809721080_x000a_filtre a air ref 1444TV_x000a_huilr moteur 15w40 bidon 5litres _x000a_397000 km"/>
        <s v="réparation des element de suspention ,endommagé _x000a_changement du deux bielette de suspention deux amortisseur _x000a_jeu de plaquette de frein support moteur inferieure _x000a_silent bloc amortisseur  des triangle de suspoention _x000a_deux chappe de direction _x000a_roullement amortisseur "/>
        <s v="changement du cable de freina a main _x000a_changement deudeux master de frein arriere x_x000a_tondeur du courroie et courroie d'accessoires _x000a_"/>
        <s v="changement du barre de direction courte"/>
        <s v="painture du carosserie "/>
        <s v="changement du dessicateur d'air comprimé et réparation du fuite d'air _x000a_"/>
        <s v="vidabnge d'huile moteur 15W40_x000a_404000 km"/>
        <s v="changement du pipe d'eau"/>
        <s v="réparation du fuite au niveau du refrigerant moteur "/>
        <s v="changement du pompe a eau et pipe d'eau _x000a_changement du poulie de pompe a eau"/>
        <s v="changement du tuyau d'air _x000a_et des prise d'air "/>
        <s v="changemendes cosses battrie "/>
        <s v="vidange d'huile moteur 15w40 _x000a_80500km"/>
        <s v="réparation du probleme de freinage et changement du jeu de garniture de frein _x000a_et quatre came de reglage frein _x000a_ressort de rappele came de frein _x000a_"/>
        <s v="réparation deu freinage et changement du deux jeu de garniture de frein et arrét de graisse moyeu _x000a_changement du mecanisme de leve glace cote gauche _x000a_changement des arrét de graisse moyeu_x000a_changement d'appareille de frein _x000a_graisse des moyeu et mecanisme de leve glace "/>
        <s v="réparation d'eclairtage et changement des alampes "/>
        <s v="vidange d'huuile moteur et changement des filtre a huile et filtre aair et filtre a gasoil _x000a_"/>
        <s v="changementr du moteur thermique achat d'occasion "/>
        <s v="vidage d'huile moteur et changement des filtre a huile et filtre a gasoil "/>
        <s v="réparation du probleme electrique et changement des fil "/>
        <s v="changment des galet de monte charge "/>
        <s v="depose et pose du culasse pour changé leur jint et pochette roudage et des joint des injecteurs et jjoint du pipe d'eau "/>
        <s v="changement du feu de signale avant droit _x000a_changemen du carte electronique pour feu de signale "/>
        <s v="vidange d'huile moteur et changement du fiiltre a huile et filtre a gasoil et filtre a air _x000a_lavage et graissage genarale d'engin _x000a_rééparatyion du fuiite a air "/>
        <s v="changement du moto leve glace coté droit _x000a_réparatio du fuite d'air "/>
        <s v="changement du ventese de frein type 24 cpmlet _x000a_réparation des fuite d'air comprimé "/>
        <s v="changement d'appareille d'air de frein "/>
        <s v="changement du deux etrier de frein d'essieu avant "/>
        <s v="peinture des cotés pourée "/>
        <s v="diagnostique et réparation du probleme electronique dinjaction ADBLUE"/>
        <s v="diagnostique et réparation du probleme du boite a vitesse "/>
        <s v="réparation des probleme de fuite d'air comprimé changement du pompe d'embrayage interieur et sup"/>
        <s v="changement du moiteur thermique (achat du laferaille )_x000a_elimination des fuite d'huile hydraulique _x000a_réparation des probleme electrique démarrage et eclairage"/>
        <s v="changement des garniture de frein _x000a_chanagement des arrét de graisse moyeu_x000a_changeent des master de frein avant et arrier coté gauche _x000a_changement du kit d'embrayage complet "/>
        <s v="changement du deux amortisseur avant "/>
        <s v="changement d'arrét d'huile moteur coté volant moteur _x000a_"/>
        <s v="dépose et pose du bv pour réctifier d'arbre de boite a vitess primaire "/>
        <s v="changement du cerveau d'embrayage "/>
        <s v="changement du venteuse de cabine et klaxon "/>
        <s v="changement du pompe de'embrayage superieure"/>
        <s v="réparation du probleme de diagnostique electronique"/>
        <s v="réparation du probleme d'arrét moteur "/>
        <s v="changement d'arrét dhuile moteur arriere _x000a_tarage et réparation du pompe a gasoil _x000a_changement du collecteur d'admission "/>
        <s v="dépose du bv pour changé leur kit d'embrayage complet et réparation des probleme de freinage et changement des garniture de freinb et des master de frein avant et achat du boiote de vitesse complet chat du bon occasion "/>
        <s v="réparation des element de suspention "/>
        <s v="réparation du probleme d'abs "/>
        <s v="changement des chappe de direction _x000a_vidange d'huile moteur et changement des filtres a nhuile "/>
        <s v="réglage du jeu de plaquette defrein "/>
        <s v="déplacement a ste EFAMAR pour diagnostique et réparation du probleme de selection vitesse "/>
        <s v="réparation du probleme d'arret moteur"/>
        <s v="changemen,t du jeu de plaquette de frein "/>
        <s v="changement du deux battries de démarrage 12v"/>
        <s v="changement du pnu ref 315/80r22,5_x000a_paralellisme d'essieu avant "/>
        <s v="déplacement du camion a ste SEFAMARpour un diagnoistique electronique"/>
        <s v="mise a nouveau du moteur et changement des quatre piston et jeu des segment _x000a_changemlent du ompe a eau _x000a_changement de refrigerant d&quot;huile moteur _x000a_ débouchage du radiateru _x000a_battrie de démarrage "/>
        <s v="sortie a safi pour déppanage du camion et changement du arbre primaire du boite a vitesse et des roullement _x000a_changement du kit d'embrayage _x000a_des a&amp;rrét d'huile moteur "/>
        <s v="changement du deux jeu de garniture de frein et quetre master de frein avant _x000a_changement du boiite a vitesse chat du laferaille _x000a_changemen du kit d'mbrayage complet _x000a_changeent des arrét de graisse moyeu et des master de frein arriére _x000a_"/>
        <s v="diagnostique electronique et changement des joystick de levier distributeur hydraulique "/>
        <s v="changement du kit d'embrayage complet _x000a_changement du fourchette de  butee d'embrayage _x000a_changement du cerveau d'embrayage _x000a_et suuport butee"/>
        <s v="changement du courroie d'accessoires "/>
        <s v="changement du deux amortisseurs avant _x000a_changement du deux amortisseur arriere _x000a_vidange d'huile moteur et changemlent du filtre a huoi et filtre a gasoil _x000a_et filtre a gasoil "/>
        <s v="changement du durite hydraulkique"/>
        <s v="changeùment du contact de démarrage et boule de levier de vitesse _x000a_des tomates "/>
        <s v="changement d'appareille d'air "/>
        <s v="mise a nouveau du mteur thermique et changement des piston et guide soupppape et souppape _x000a_pompe a eau des joint plaque distribution et plaque distribution _x000a_refrgerant moteur complet _x000a_pochatte joint colmplet"/>
        <s v="réparation du fuite d'air au niveau du venteuse de frein "/>
        <s v="changement des venteuse de frein arrire plateau _x000a_soudage des fissure au niveau du plateau"/>
        <s v="changement du moteur thrmique achat du l'aferaille _x000a_changement du prefiltre a gasoil _x000a_des filtre a huile gasoil et air _x000a_vidange d'huile moteur _x000a_"/>
        <s v="changemet du couroie d'ccessoires et des tondeur "/>
        <s v="vidange d'huile moteur "/>
        <s v="changement du contact de démarrage 24 v _x000a_achat du laferaille "/>
        <s v="vidange d'huile moteur et changement des filtre a huile gasoil et filtre a air "/>
        <s v="changement du trois venteuse de frein complet"/>
        <s v="réparation du probleme electrique et changement de fiche prolongateur _x000a_vidabge d'huile moteur et graissage generale d'engin"/>
        <s v="vidange d'huile moteur et changemant du filtre a huiile"/>
        <s v="changement du joint culasse _x000a_changement du refrigerant moteur et contrôle du culasse "/>
        <s v="depose et pose du culasse pour changé leur joint _x000a_"/>
        <s v="changement du deux pneu ref 315/80R22,5 "/>
        <s v="changement du deux disque de frein arriere _x000a_changement du deux jeu de plaquette avant et arriere _x000a_changement des fiche d'usure plaquette de frein _x000a_"/>
        <s v="peinture des coté accidentée _x000a_changement du klaxon"/>
        <s v="changement du moyeu de roue avant tracteur _x000a_avec jeu de garniture frein"/>
        <s v="changement du ventilateur de refroidissement _x000a_changement du durite d'eau"/>
        <s v="réparation d'eclairage etr changement des lampes"/>
        <s v="changement du kit d'embrayage et vidange d'huile moteur avec des filktres "/>
        <s v="achangement du eu de garniture de fein arriere "/>
        <s v="changement du croisillon du cardon _x000a_reparation et elimination des fuites d'air _x000a_changement du boule de levier de vitesse "/>
        <s v="changement de moyeu roue AV "/>
        <s v="depose et pose du culasse pour controler l'etat du culasse et changement du joint culasse"/>
        <s v="Reparation du probleme du marche AV/AR"/>
        <s v="Changement du moyeu du roue AV.D"/>
        <s v="Reparation d'eclairage et changement des lampes "/>
        <s v="Changement du radiateur _x000a_changement de liquide refroidissement "/>
        <s v="changement des quatres pneux REF 315/80R22,5"/>
        <s v="Changement du deux moteur inf et sup "/>
        <s v="changement des deux pneu ref 315180R22,5"/>
        <s v="Vidange d'huile moteur 15w40 _x000a_lavage et grissage generale d'engin "/>
        <s v="changement de support filtre à gasoil avec pompe d'amossage "/>
        <s v="changement du kit d'embrayage complet (disque ,plateau et butée ) _x000a_reparation des fuites d'air comprimée_x000a_"/>
        <s v="changement des deux jeux de plaquettes de frein et deux disque de frein avant , avec fiche de plaquette de frein"/>
        <s v="Changement des deux arret d'huile du moyeu de roue arriere "/>
        <s v="Vidange d'huile moteur et changement du filtre a huile _x000a_lavage et grissage general d'engin "/>
        <s v="Reparationn de fuite d'huile et changement du kit verin de lavage fourche "/>
        <s v="changement des deux jeux de plaquettes de frein et deux disque de frein avant _x000a_changement des deux royule de triangle de suspention "/>
        <s v="changement du support cardon et croisillon cardon "/>
        <s v="changement du jeu de garniture de frein _x000a_alesage  des tambours de frein _x000a_changement des arrets de graisse moyeu de roue _x000a_ _x000a_"/>
        <s v="changement d'arret d'huie du pont arriere "/>
        <s v="changement du coupleur de ventilateur refroidissement moteur "/>
        <s v="chnagement du joint culasse moteur "/>
        <s v="changement du pompe a gasoil et turbo compression ( achat du la feraille )"/>
        <s v="changement du moteur thermique _x000a_reparation et elimination des fuites d'huile hydraulique "/>
        <s v="vidange d'huile moteur et changement du filtre à huile , filtre à gasoil , filtre à air "/>
        <s v="reparation du freinage et changement du jeu de garniture de frein _x000a_vidange d'huile moteur et changement des filtres à huile , gasoi , air "/>
        <s v="changement du courroie d'entrainement du pompe a eau "/>
        <s v="vidange d'huile moteur et changement du filtre à huile , filtre à gasoil _x000a_lavage et grissage general d'engin "/>
        <s v="vidange d'huile moteur et changement du filtre à huile , filtre à gasoil , filtre à air _x000a_lavage et grissage general d'engin "/>
        <s v="changement du lampes d'eclairage avant et reparation des fuites d'air "/>
        <s v="Changement de retroviseur cote gauche _x000a_changement des serrures de verouillage porte "/>
        <s v="vidange d'huile moteur et changement du filtre à huile , filtre à gasoil , filtre à air _x000a_"/>
        <s v="changement de klaxon 24V _x000a_reparation d'eclairage plateau "/>
        <s v="Changement du jeu de balai d'essuie glace _x000a_Reparation d'eclairage "/>
        <s v="changement du deux amortisseur arriere "/>
        <s v="Changement du vase d'expansion "/>
        <s v="vidange d'huile moteur et changement du filtre a huile"/>
        <s v="reparation du fuite d'air comprimé _x000a_vidange d'huile moteur 15WW et changement du filtre a huile "/>
        <s v="Reparation du probleme de freinage et changement du jeu de garniture de frein , des master de frein , tambours de frein et graissage des moyeu de roue "/>
        <s v="Vidange d'huile moteur et changement du filtre à huile , filtre à air , filtre à gasoil _x000a_lavage et graissage general d'engin"/>
        <s v="reparation du probleme au niveau d'embrayage et changement du pompe sup "/>
        <s v="vidange d'huile moteur 15W40 ety chnangement des filtres a huile gasoil et air _x000a_lavage et graissage d'engin "/>
        <s v="reparation du probleme de freinage et changement des master de frein  des plaquettes de frein un moyeu du roue et des atter de graisse moyeu "/>
        <s v="reparation du demarrage moteur et changement du bendix demarreur avec bagues et charbon  "/>
        <s v="changement du coupleur de ventilateur et jante de pneus _x000a_vidange d'huile moteur et changement du filtre à huile "/>
        <s v="changement des feu de signal et feu rouge lateral "/>
        <s v="changement des deux pompes d'embrayage superieure et inferieur "/>
        <s v="reparation du probleme d'injection gasoil et chnagement du filtre de chassis"/>
        <s v="changement du cable d'accélération moteur "/>
        <s v="changement des lampes d'eclairage "/>
        <s v="vidange d'huile moteur et changement du filtre a huile , filtre à gasoil _x000a_lavage et graissage general d'engin "/>
        <s v="reparataion du probleme de demarrage et changement du filtre à gasoil "/>
        <s v="changement des lampes _x000a_reparation du fuite d'air comprimé "/>
        <s v="peinture generale d'engin"/>
        <s v="vidange d'huile moteur et changement du filtre à huile f*, filtre à gasoil , filtre a air "/>
        <s v="vidange d'huile moteur 15W40et changement de filtre à air , filtre à huile , filtre à gasoil "/>
        <s v="reparation du fuite d'huile hyd et changement de distributeur hyd"/>
        <s v="changement des deux pneus ref 12R22,5"/>
        <s v="joint carter d'huile moteur "/>
        <s v="reparation de fuite d'huile et changement de kit reparation verin de levage et rotule de verin "/>
        <s v="reparation du verin de levage et changement de kit reparation verin "/>
        <s v="Reparation d'eclairage et changement des lampes et cataphotes "/>
        <s v="vidange d'huile moteur 15W40 _x000a_changement du retroviseur cote droit "/>
        <s v="changement du cable d'acceleration moteur "/>
        <s v="changement du joint culasse et des sleeves d'injecteur _x000a_contrôle et reparation du culasse "/>
        <s v="vidange d'huile moteur 15W40 _x000a_changement du filtre a huile , filtre a gasoil , filtre a air _x000a_lavage et graissage general d'engin _x000a_"/>
        <s v="reparation du moyeu de roue et changement du kit reparation moyeu de roue "/>
        <s v="reparationn d'eclairage et changement des lampes "/>
        <s v="reparation du probleme de demarrage et changement de batterie  12V"/>
        <s v="reparation de probleme de demarrage et changement du battrerie 12V"/>
        <s v="vidange d'huile moteur 15W40 _x000a_changement du filtre à huile , filtre à gasoil _x000a_lavage et graissage general d'engin "/>
        <s v="reparation du freinage et changement du jeu de garniture de frein et jeu de machoir de frein + radiateur "/>
        <s v="reparation du fuite d'huile hyd et changement ddes kits reparation distributeur "/>
        <s v="changement tourdeur courroie de ventilateur refroidissement "/>
        <s v="reparation du distributeur hydraulique "/>
        <s v="changement des deux pneu REF 315/80r22,5 _x000a_changement du venteuse du cabine "/>
        <s v="changement des deux pneu REF 195A0R15"/>
        <s v="reparation de freinage et changement des masters de frein "/>
        <s v="changement du feu de signale comodo feu de signal"/>
        <s v="reparation du fuite d'air au niveau d'appareille de frein "/>
        <s v="reparation des probleme de suspension et changement du biellettes de suspension , amortisseurs , jeu du courroie accessoire , des triangles de suspension des rotule de triangle et kit d'embrayage "/>
        <s v="reparation du probleme de demarrage et changement des cosses de batterie"/>
        <s v="reparation du fuite d'air comprime _x000a_soudure des fussure au niveau du chassis du plateau "/>
        <s v="reparation du probleme de marche AV/AR"/>
        <s v="reparation de fuite et changement du pompe a gasoil "/>
        <s v="changement des deux amortisseurs "/>
        <s v="reparation du probleme d'embrayage et changement de kit d'embrayage complet "/>
        <s v="vidange d'huile moteur et lavage , graissage generale d'engin "/>
        <s v="chnagement des amortisseurs + triangles de suspension des biellette de suspension et slent bloc"/>
        <s v="Reparation du fuite d'air comprime _x000a_vidange d'huile moteur 15W40_x000a_reparation d'eclairage "/>
        <s v="changement du batterie de demarrage 12VL5"/>
        <s v="reparation du freinage et changement des masters nde frein "/>
        <s v="changement du deux optique avant "/>
        <s v="changement des arrets de graisse moyeu "/>
        <s v="changement du pompe d'embryage inferieure"/>
        <s v="reparation d'eclairge et changement des lampes "/>
        <s v="reparation du freinage et changement des garniture de frein des arret de graisse moyeu _x000a_peinture general d'engin"/>
        <s v="reparation du prob d'embrayage et changement du kit d'embrayage et butee + fourchette d'embrayage _x000a_reparation du fuite d'huile de refroidissement moteur ,  changement du barre de direction "/>
        <s v="reparation d'eclairage et changement des lampes"/>
        <s v="Reparation d'eclairage et changement des lampes _x000a_reparation de freinage et changement des deux jeu de garniture de frein + arret de graisse _x000a_reparation et changement des pieces de carrossrie _x000a_"/>
        <s v="changement des deux batterie 12V"/>
        <s v="reparation du probleme de refroidissement moteur et changement du courroie et tondeur "/>
        <s v="reparation du probleme de suspension et d'eclairage "/>
        <s v="changement du kit reparation moyeu de roue arriere "/>
        <s v="mise a nouveau  du moteur thermique et changement de chemise piston "/>
        <s v="vidange d'huile moteur et changement du filltre à huile et filtre à gasoil _x000a_lavage et graissage general d'engin "/>
        <s v="changement de tube de refroidissement _x000a_reparation d'eclairage "/>
        <s v="reparation d'eclairage et changement des lampes et feu de signal "/>
        <s v="reparation du fuite d'eau et changement du pompe d'eau "/>
        <s v="reparation du freinage et changement du pompe de frein "/>
        <s v="rparation du frein plateau et changement des deux jeu garniture de frein "/>
        <s v="reparation du fuite d'air et changement des tuyaux percés"/>
        <s v="changemnt du selecteur de vitesse "/>
        <s v="changement d'attestation de charge batterie "/>
        <s v="reparation du freinage et cahngementy de master frein"/>
        <s v="changement de joint carter d'huile moteur "/>
        <s v="reparation de probleme de demarrage et changement de batterie "/>
        <s v="reparation du freinage et chngement du jeu de garniture frein + plaquettes frein "/>
        <s v="reparation freinage et changement des deux jeu de garniture de frein "/>
        <s v="changement de klaxon 12V "/>
        <s v="vidange d'huile moteur et changement du filtre à huile et filtre à gasoil "/>
        <s v="reparation du freinage te changement des cames reglage frein _x000a_reparation des fuites d'air plateau "/>
        <s v="vidange d'huile moteur 15W40 _x000a_lavage et graissage general d'engin "/>
        <s v="reparation du prbleme d'injection adblue _x000a_reparation du tube d'echappement et pot catalytique _x000a_changement des goujoux du roue  "/>
        <s v="reparation du probleme de demarrage moteur "/>
        <s v="reparation du tondeur du courroie et changement de poulie "/>
        <s v="reparation du probleme de demarrage et changement des bougis de préchauffage"/>
        <s v="changement de deux batterie de demarrage 12V et reparation d'eclairage "/>
        <s v="reparation du prbleme de demarrage moteur et changement du groupe d'amossage gasoil "/>
        <s v="reparation du probleme de demarrage et changement du pompe a gasoil et filtre a gasoil"/>
        <s v="vidange d'huile moteur 15W40 _x000a_changement des filtres a huile , gasoil et a air _x000a_lavage et graissage generale d'engin "/>
        <s v="reparation du freinage et changement du jeu de plaquette _x000a_changement des deux pneu REF 315/80R22,5"/>
        <s v="reparation du probleme demarrage moteur "/>
        <s v="reparation du probleme de charge batterie et changement du charge batterie "/>
        <s v="reparation du probleme de refroidissement moteur et changement du ventilateur "/>
        <s v="reparation d'eclairage et changement des lampes _x000a_changement du coupe courant "/>
        <s v="changement des pneus REF 315/80R22,5"/>
        <s v="reparation du probleme demarrage et changement des deux batterie REF G7"/>
        <s v="vidange d'huile moteur et changement du filtre à huile et filtre à gasoil _x000a_changement du courroie d'alternateur _x000a_lavage et graissage generale d'engin "/>
        <s v="changement des batteries de demarrage 12V "/>
        <s v="changement du courroie f&quot;entrainement ventilateur de refroidissement "/>
        <s v="changement du manometre d'huile moteur "/>
        <s v="reparation du dermarreur et changement d'alternateur charge batterie "/>
        <s v="reparation probleme de fuite d'air comprimé _x000a_entretien et vidange d'huile moteur et changement du filtre à huile , gasoil et filtre à air + changement du jeu de balais + lavage et graissage general d'engin "/>
        <s v="changement de kit d'embrayage complet et rolant moteur "/>
        <s v="vidange d'huile moteur 15W40 et changement filtre et filtre a huile a gasoil et filtre a air _x000a_reparation d'eclairage _x000a_"/>
        <s v="vidange d'huile moteur et changement du filtre à huile , gasoil et filtre à air "/>
        <s v="changement de batterie _x000a_changement des cosses batterie"/>
        <s v="reparation probleme d'embrayage"/>
        <s v="changement des deux pneus REF 11R22,5"/>
        <s v="changement des deux pneus REF 315/80R22,5"/>
        <s v="reparation du freinage et changement du jeu de garniture de frein pour plateau "/>
        <s v="vidange d'huile moteur 15W40 _x000a_changement des filtres a huile , gasoil et a filtre à air et hydraulique _x000a_"/>
        <s v="changement du cervo d'embrayage _x000a_reparation du fuile d'air comprimé"/>
        <s v="changement des deux pneus REF 250/75R12"/>
        <s v="reparation d'appareille de frein _x000a_elimination des fuites d'air comprimé _x000a_reparation d'eclairage "/>
        <s v="changement des deux pneu ref 250-15"/>
        <s v="reparation du probleme de demarrage moteur et changement du pompe d'alimentation gasoil"/>
        <s v="changement des deux pnues REF 250-15"/>
        <s v="reparation du probleme de demarrage moteur et changement du coupe courant 24V"/>
        <s v="reparation du freinage et changement jeu de machoire de frein cote AVD plateau "/>
        <s v="reparation du probleme de demarrage et changement du pompe à gasoil "/>
        <s v="reparation du fuite d'air comprime"/>
        <s v="reparation d'eclairage et changement des lampes _x000a_reparation du probleme de B.V"/>
        <s v="reparation du probleme electrique d'eclairage "/>
        <n v="25200" u="1"/>
      </sharedItems>
    </cacheField>
    <cacheField name="N BS" numFmtId="0">
      <sharedItems containsBlank="1" containsMixedTypes="1" containsNumber="1" containsInteger="1" minValue="17" maxValue="1699511"/>
    </cacheField>
    <cacheField name="Temps_x000a_d'intervention (min)" numFmtId="166">
      <sharedItems containsBlank="1" containsMixedTypes="1" containsNumber="1" containsInteger="1" minValue="2" maxValue="57000"/>
    </cacheField>
    <cacheField name="Temps _x000a_d'arrêt _x000a_(min)" numFmtId="0">
      <sharedItems containsBlank="1" containsMixedTypes="1" containsNumber="1" containsInteger="1" minValue="0" maxValue="125791"/>
    </cacheField>
    <cacheField name="Date fin d'intervention" numFmtId="0">
      <sharedItems containsDate="1" containsBlank="1" containsMixedTypes="1" minDate="2019-11-01T00:00:00" maxDate="2026-06-06T00:00:00" count="802">
        <d v="2021-07-13T00:00:00"/>
        <d v="2019-11-01T00:00:00"/>
        <d v="2019-11-04T00:00:00"/>
        <d v="2019-11-06T00:00:00"/>
        <d v="2019-11-07T00:00:00"/>
        <d v="2019-11-12T00:00:00"/>
        <d v="2019-11-13T00:00:00"/>
        <d v="2019-11-14T00:00:00"/>
        <d v="2019-11-15T00:00:00"/>
        <d v="2019-11-16T00:00:00"/>
        <d v="2019-11-19T00:00:00"/>
        <d v="2019-11-20T00:00:00"/>
        <d v="2019-11-21T00:00:00"/>
        <d v="2019-11-22T00:00:00"/>
        <d v="2019-11-24T00:00:00"/>
        <d v="2019-11-25T00:00:00"/>
        <d v="2019-11-26T00:00:00"/>
        <d v="2019-11-28T00:00:00"/>
        <d v="2019-11-30T00:00:00"/>
        <d v="2019-12-02T00:00:00"/>
        <d v="2019-12-03T00:00:00"/>
        <d v="2019-12-04T00:00:00"/>
        <d v="2019-12-05T00:00:00"/>
        <d v="2020-01-06T00:00:00"/>
        <d v="2019-12-06T00:00:00"/>
        <d v="2019-12-07T00:00:00"/>
        <d v="2019-12-09T00:00:00"/>
        <d v="2019-12-10T00:00:00"/>
        <d v="2019-12-11T00:00:00"/>
        <d v="2019-12-12T00:00:00"/>
        <d v="2019-12-13T00:00:00"/>
        <d v="2019-12-15T00:00:00"/>
        <d v="2019-12-16T00:00:00"/>
        <d v="2019-12-18T00:00:00"/>
        <d v="2020-02-22T00:00:00"/>
        <d v="2019-12-19T00:00:00"/>
        <d v="2019-12-23T00:00:00"/>
        <d v="2019-12-24T00:00:00"/>
        <d v="2019-12-25T00:00:00"/>
        <d v="2019-12-27T00:00:00"/>
        <d v="2019-12-30T00:00:00"/>
        <d v="2020-01-09T00:00:00"/>
        <d v="2020-01-02T00:00:00"/>
        <d v="2020-01-04T00:00:00"/>
        <d v="2020-01-07T00:00:00"/>
        <d v="2020-01-08T00:00:00"/>
        <d v="2020-01-10T00:00:00"/>
        <d v="2020-01-11T00:00:00"/>
        <d v="2020-01-21T00:00:00"/>
        <d v="2020-01-13T00:00:00"/>
        <d v="2020-01-17T00:00:00"/>
        <d v="2020-01-16T00:00:00"/>
        <d v="2020-01-30T00:00:00"/>
        <d v="2020-01-18T00:00:00"/>
        <d v="2020-01-20T00:00:00"/>
        <d v="2020-01-25T00:00:00"/>
        <d v="2020-01-22T00:00:00"/>
        <m/>
        <d v="2020-01-24T00:00:00"/>
        <d v="2020-01-27T00:00:00"/>
        <d v="2020-01-28T00:00:00"/>
        <d v="2020-01-29T00:00:00"/>
        <d v="2020-02-16T00:00:00"/>
        <d v="2020-01-31T00:00:00"/>
        <d v="2020-02-01T00:00:00"/>
        <d v="2020-02-03T00:00:00"/>
        <d v="2020-02-25T00:00:00"/>
        <d v="2020-02-02T00:00:00"/>
        <d v="2020-02-06T00:00:00"/>
        <d v="2020-02-05T00:00:00"/>
        <d v="2020-02-07T00:00:00"/>
        <d v="2020-02-08T00:00:00"/>
        <d v="2020-02-19T00:00:00"/>
        <d v="2020-02-09T00:00:00"/>
        <d v="2020-02-12T00:00:00"/>
        <d v="2020-02-14T00:00:00"/>
        <d v="2020-02-15T00:00:00"/>
        <d v="2020-02-18T00:00:00"/>
        <d v="2020-11-19T00:00:00"/>
        <d v="2020-03-09T00:00:00"/>
        <d v="2020-02-24T00:00:00"/>
        <d v="2020-02-26T00:00:00"/>
        <d v="2020-02-27T00:00:00"/>
        <d v="2020-03-03T00:00:00"/>
        <d v="2020-03-04T00:00:00"/>
        <d v="2020-03-06T00:00:00"/>
        <d v="2020-03-10T00:00:00"/>
        <d v="2020-03-13T00:00:00"/>
        <d v="2020-03-15T00:00:00"/>
        <d v="2020-03-20T00:00:00"/>
        <d v="2020-03-18T00:00:00"/>
        <d v="2020-03-19T00:00:00"/>
        <d v="2020-03-21T00:00:00"/>
        <d v="2020-03-23T00:00:00"/>
        <d v="2020-03-24T00:00:00"/>
        <d v="2020-04-10T00:00:00"/>
        <d v="2020-04-14T00:00:00"/>
        <d v="2020-04-16T00:00:00"/>
        <d v="2020-04-15T00:00:00"/>
        <d v="2020-04-17T00:00:00"/>
        <d v="2020-04-20T00:00:00"/>
        <d v="2020-04-22T00:00:00"/>
        <d v="2020-04-24T00:00:00"/>
        <d v="2020-04-25T00:00:00"/>
        <d v="2020-04-29T00:00:00"/>
        <d v="2020-04-30T00:00:00"/>
        <d v="2020-05-02T00:00:00"/>
        <d v="2020-05-04T00:00:00"/>
        <d v="2020-05-05T00:00:00"/>
        <d v="2020-05-07T00:00:00"/>
        <d v="2020-05-09T00:00:00"/>
        <d v="2020-05-12T00:00:00"/>
        <d v="2020-05-14T00:00:00"/>
        <d v="2020-05-15T00:00:00"/>
        <d v="2020-05-20T00:00:00"/>
        <d v="2020-06-01T00:00:00"/>
        <d v="2020-06-02T00:00:00"/>
        <d v="2020-07-02T00:00:00"/>
        <d v="2020-06-04T00:00:00"/>
        <d v="2020-06-05T00:00:00"/>
        <d v="2020-06-08T00:00:00"/>
        <d v="2020-06-13T00:00:00"/>
        <d v="2020-06-16T00:00:00"/>
        <d v="2020-06-15T00:00:00"/>
        <d v="2020-06-20T00:00:00"/>
        <d v="2020-06-19T00:00:00"/>
        <d v="2020-06-22T00:00:00"/>
        <d v="2020-06-23T00:00:00"/>
        <d v="2020-06-24T00:00:00"/>
        <d v="2020-06-25T00:00:00"/>
        <d v="2020-06-26T00:00:00"/>
        <d v="2020-06-28T00:00:00"/>
        <d v="2020-07-04T00:00:00"/>
        <d v="2020-07-03T00:00:00"/>
        <d v="2020-07-05T00:00:00"/>
        <d v="2020-07-11T00:00:00"/>
        <d v="2020-07-08T00:00:00"/>
        <d v="2020-07-16T00:00:00"/>
        <d v="2020-07-23T00:00:00"/>
        <d v="2020-07-14T00:00:00"/>
        <d v="2020-07-26T00:00:00"/>
        <d v="2020-07-22T00:00:00"/>
        <d v="2020-08-18T00:00:00"/>
        <d v="2020-08-06T00:00:00"/>
        <d v="2020-07-27T00:00:00"/>
        <d v="2020-08-07T00:00:00"/>
        <d v="2020-08-29T00:00:00"/>
        <d v="2020-08-10T00:00:00"/>
        <d v="2020-09-26T00:00:00"/>
        <d v="2020-08-11T00:00:00"/>
        <d v="2020-08-23T00:00:00"/>
        <d v="2020-08-16T00:00:00"/>
        <d v="2020-08-17T00:00:00"/>
        <d v="2020-08-22T00:00:00"/>
        <d v="2020-08-19T00:00:00"/>
        <d v="2020-08-21T00:00:00"/>
        <d v="2020-09-16T00:00:00"/>
        <d v="2020-08-25T00:00:00"/>
        <d v="2020-08-26T00:00:00"/>
        <d v="2020-08-27T00:00:00"/>
        <d v="2020-08-30T00:00:00"/>
        <d v="2020-08-28T00:00:00"/>
        <d v="2020-08-31T00:00:00"/>
        <d v="2020-09-01T00:00:00"/>
        <d v="2020-09-06T00:00:00"/>
        <d v="2020-09-02T00:00:00"/>
        <d v="2021-09-30T00:00:00"/>
        <d v="2020-09-03T00:00:00"/>
        <d v="2020-09-30T00:00:00"/>
        <d v="2020-09-04T00:00:00"/>
        <d v="2020-09-14T00:00:00"/>
        <d v="2020-09-10T00:00:00"/>
        <d v="2020-09-11T00:00:00"/>
        <d v="2020-09-12T00:00:00"/>
        <d v="2020-09-15T00:00:00"/>
        <d v="2020-09-18T00:00:00"/>
        <d v="2020-09-24T00:00:00"/>
        <d v="2020-09-19T00:00:00"/>
        <d v="2020-09-21T00:00:00"/>
        <d v="2020-09-22T00:00:00"/>
        <d v="2020-09-23T00:00:00"/>
        <d v="2020-09-25T00:00:00"/>
        <d v="2020-09-28T00:00:00"/>
        <d v="2020-10-02T00:00:00"/>
        <d v="2020-10-01T00:00:00"/>
        <d v="2020-10-19T00:00:00"/>
        <d v="2020-10-03T00:00:00"/>
        <d v="2020-10-04T00:00:00"/>
        <d v="2020-10-08T00:00:00"/>
        <d v="2020-10-09T00:00:00"/>
        <d v="2020-10-10T00:00:00"/>
        <d v="2020-11-11T00:00:00"/>
        <d v="2020-10-12T00:00:00"/>
        <d v="2020-10-13T00:00:00"/>
        <d v="2020-11-12T00:00:00"/>
        <d v="2020-10-14T00:00:00"/>
        <d v="2020-10-15T00:00:00"/>
        <d v="2020-10-16T00:00:00"/>
        <d v="2020-10-20T00:00:00"/>
        <d v="2020-11-04T00:00:00"/>
        <d v="2020-10-21T00:00:00"/>
        <d v="2020-10-23T00:00:00"/>
        <d v="2020-11-02T00:00:00"/>
        <d v="2020-11-10T00:00:00"/>
        <d v="2020-11-24T00:00:00"/>
        <d v="2020-11-23T00:00:00"/>
        <d v="2020-11-16T00:00:00"/>
        <d v="2020-11-17T00:00:00"/>
        <d v="2020-11-20T00:00:00"/>
        <d v="2020-11-26T00:00:00"/>
        <d v="2020-11-27T00:00:00"/>
        <d v="2020-12-05T00:00:00"/>
        <d v="2020-12-02T00:00:00"/>
        <d v="2020-12-12T00:00:00"/>
        <d v="2020-12-08T00:00:00"/>
        <d v="2021-01-07T00:00:00"/>
        <d v="2020-12-09T00:00:00"/>
        <d v="2020-12-10T00:00:00"/>
        <d v="2021-01-10T00:00:00"/>
        <d v="2020-12-11T00:00:00"/>
        <d v="2020-12-30T00:00:00"/>
        <d v="2020-12-14T00:00:00"/>
        <d v="2020-12-15T00:00:00"/>
        <d v="2020-12-25T00:00:00"/>
        <d v="2020-12-17T00:00:00"/>
        <d v="2020-12-18T00:00:00"/>
        <d v="2020-12-19T00:00:00"/>
        <d v="2020-12-21T00:00:00"/>
        <d v="2020-12-22T00:00:00"/>
        <d v="2020-12-23T00:00:00"/>
        <d v="2020-12-24T00:00:00"/>
        <d v="2020-12-28T00:00:00"/>
        <d v="2020-12-26T00:00:00"/>
        <d v="2020-12-29T00:00:00"/>
        <d v="2020-12-27T00:00:00"/>
        <d v="2021-01-01T00:00:00"/>
        <d v="2020-12-31T00:00:00"/>
        <d v="2021-01-30T00:00:00"/>
        <d v="2021-03-29T00:00:00"/>
        <d v="2021-01-12T00:00:00"/>
        <d v="2021-01-08T00:00:00"/>
        <d v="2021-01-02T00:00:00"/>
        <d v="2021-01-05T00:00:00"/>
        <d v="2021-01-16T00:00:00"/>
        <d v="2021-01-21T00:00:00"/>
        <d v="2021-01-17T00:00:00"/>
        <d v="2021-01-09T00:00:00"/>
        <d v="2021-01-13T00:00:00"/>
        <d v="2021-02-05T00:00:00"/>
        <d v="2021-01-29T00:00:00"/>
        <d v="2021-01-28T00:00:00"/>
        <d v="2021-01-18T00:00:00"/>
        <d v="2021-01-23T00:00:00"/>
        <d v="2021-01-26T00:00:00"/>
        <d v="2021-01-27T00:00:00"/>
        <d v="2021-11-30T00:00:00"/>
        <d v="2021-02-19T00:00:00"/>
        <d v="2021-02-01T00:00:00"/>
        <d v="2021-02-02T00:00:00"/>
        <d v="2021-02-03T00:00:00"/>
        <d v="2021-02-27T00:00:00"/>
        <d v="2021-02-09T00:00:00"/>
        <d v="2021-02-12T00:00:00"/>
        <d v="2021-02-10T00:00:00"/>
        <d v="2021-02-11T00:00:00"/>
        <d v="2021-02-23T00:00:00"/>
        <d v="2021-02-18T00:00:00"/>
        <d v="2021-02-20T00:00:00"/>
        <d v="2021-02-22T00:00:00"/>
        <d v="2021-02-28T00:00:00"/>
        <d v="2021-02-24T00:00:00"/>
        <d v="2021-02-25T00:00:00"/>
        <d v="2021-02-26T00:00:00"/>
        <d v="2021-03-19T00:00:00"/>
        <d v="2021-03-02T00:00:00"/>
        <d v="2021-03-30T00:00:00"/>
        <d v="2021-03-15T00:00:00"/>
        <d v="2021-03-11T00:00:00"/>
        <d v="2021-03-22T00:00:00"/>
        <d v="2021-03-13T00:00:00"/>
        <d v="2021-02-16T00:00:00"/>
        <d v="2021-03-16T00:00:00"/>
        <d v="2021-03-17T00:00:00"/>
        <d v="2021-03-18T00:00:00"/>
        <d v="2021-04-01T00:00:00"/>
        <d v="2021-03-24T00:00:00"/>
        <d v="2021-03-27T00:00:00"/>
        <d v="2021-03-28T00:00:00"/>
        <d v="2021-03-31T00:00:00"/>
        <d v="2021-04-02T00:00:00"/>
        <d v="2021-04-03T00:00:00"/>
        <d v="2021-04-04T00:00:00"/>
        <d v="2021-04-05T00:00:00"/>
        <d v="2021-04-06T00:00:00"/>
        <d v="2021-04-14T00:00:00"/>
        <d v="2021-04-07T00:00:00"/>
        <d v="2021-04-10T00:00:00"/>
        <d v="2021-04-08T00:00:00"/>
        <d v="2021-04-09T00:00:00"/>
        <d v="2021-04-12T00:00:00"/>
        <d v="2021-04-17T00:00:00"/>
        <d v="2021-04-16T00:00:00"/>
        <d v="2021-04-22T00:00:00"/>
        <d v="2021-04-19T00:00:00"/>
        <d v="2021-05-03T00:00:00"/>
        <d v="2021-05-20T00:00:00"/>
        <d v="2021-04-21T00:00:00"/>
        <d v="2021-04-23T00:00:00"/>
        <d v="2021-04-26T00:00:00"/>
        <d v="2021-04-27T00:00:00"/>
        <d v="2021-04-28T00:00:00"/>
        <d v="2021-04-29T00:00:00"/>
        <d v="2021-06-08T00:00:00"/>
        <d v="2021-04-30T00:00:00"/>
        <d v="2021-05-04T00:00:00"/>
        <d v="2021-05-05T00:00:00"/>
        <d v="2021-05-06T00:00:00"/>
        <d v="2021-05-11T00:00:00"/>
        <d v="2021-05-07T00:00:00"/>
        <d v="2021-06-12T00:00:00"/>
        <d v="2021-05-17T00:00:00"/>
        <d v="2021-05-21T00:00:00"/>
        <d v="2021-05-19T00:00:00"/>
        <d v="2021-05-18T00:00:00"/>
        <d v="2021-06-04T00:00:00"/>
        <d v="2021-05-24T00:00:00"/>
        <d v="2021-06-24T00:00:00"/>
        <d v="2021-06-10T00:00:00"/>
        <d v="2021-05-26T00:00:00"/>
        <d v="2021-06-22T00:00:00"/>
        <d v="2021-05-27T00:00:00"/>
        <d v="2021-05-29T00:00:00"/>
        <d v="2021-05-31T00:00:00"/>
        <d v="2021-06-16T00:00:00"/>
        <d v="2021-06-13T00:00:00"/>
        <d v="2021-06-14T00:00:00"/>
        <d v="2021-06-17T00:00:00"/>
        <d v="2021-06-19T00:00:00"/>
        <d v="2021-06-21T00:00:00"/>
        <d v="2021-06-26T00:00:00"/>
        <d v="2021-06-23T00:00:00"/>
        <d v="2021-06-25T00:00:00"/>
        <d v="2021-07-02T00:00:00"/>
        <d v="2021-07-05T00:00:00"/>
        <d v="2021-07-15T00:00:00"/>
        <d v="2021-07-06T00:00:00"/>
        <d v="2021-07-08T00:00:00"/>
        <d v="2021-07-07T00:00:00"/>
        <d v="2021-07-11T00:00:00"/>
        <d v="2021-07-10T00:00:00"/>
        <d v="2021-07-14T00:00:00"/>
        <d v="2021-09-12T00:00:00"/>
        <d v="2021-09-15T00:00:00"/>
        <d v="2021-07-16T00:00:00"/>
        <d v="2021-07-17T00:00:00"/>
        <d v="2021-07-26T00:00:00"/>
        <d v="2021-07-27T00:00:00"/>
        <d v="2021-08-10T00:00:00"/>
        <d v="2021-07-29T00:00:00"/>
        <d v="2021-08-08T00:00:00"/>
        <d v="2021-07-30T00:00:00"/>
        <d v="2021-09-10T00:00:00"/>
        <d v="2021-08-02T00:00:00"/>
        <d v="2021-08-03T00:00:00"/>
        <d v="2021-08-04T00:00:00"/>
        <d v="2021-08-06T00:00:00"/>
        <d v="2021-08-07T00:00:00"/>
        <d v="2021-08-17T00:00:00"/>
        <d v="2021-08-14T00:00:00"/>
        <d v="2021-08-31T00:00:00"/>
        <d v="2021-09-02T00:00:00"/>
        <d v="2021-09-01T00:00:00"/>
        <d v="2021-09-03T00:00:00"/>
        <d v="2021-09-04T00:00:00"/>
        <d v="2021-09-06T00:00:00"/>
        <d v="2021-09-14T00:00:00"/>
        <d v="2021-09-09T00:00:00"/>
        <d v="2021-09-13T00:00:00"/>
        <d v="2021-09-16T00:00:00"/>
        <d v="2021-09-19T00:00:00"/>
        <d v="2021-09-17T00:00:00"/>
        <d v="2021-09-26T00:00:00"/>
        <d v="2021-10-04T00:00:00"/>
        <d v="2021-09-20T00:00:00"/>
        <d v="2021-09-29T00:00:00"/>
        <d v="2021-09-21T00:00:00"/>
        <d v="2021-09-22T00:00:00"/>
        <d v="2021-09-24T00:00:00"/>
        <d v="2021-09-25T00:00:00"/>
        <d v="2021-09-27T00:00:00"/>
        <d v="2021-10-12T00:00:00"/>
        <d v="2021-10-01T00:00:00"/>
        <d v="2021-10-05T00:00:00"/>
        <d v="2021-10-08T00:00:00"/>
        <d v="2021-10-09T00:00:00"/>
        <d v="2021-10-11T00:00:00"/>
        <d v="2021-10-18T00:00:00"/>
        <d v="2021-10-15T00:00:00"/>
        <d v="2021-10-21T00:00:00"/>
        <d v="2021-10-22T00:00:00"/>
        <d v="2021-10-31T00:00:00"/>
        <d v="2021-11-04T00:00:00"/>
        <d v="2021-10-24T00:00:00"/>
        <d v="2021-11-25T00:00:00"/>
        <d v="2021-10-25T00:00:00"/>
        <d v="2021-10-26T00:00:00"/>
        <d v="2021-10-27T00:00:00"/>
        <d v="2021-10-28T00:00:00"/>
        <d v="2021-10-30T00:00:00"/>
        <d v="2021-11-01T00:00:00"/>
        <d v="2021-11-19T00:00:00"/>
        <d v="2021-11-17T00:00:00"/>
        <d v="2021-11-22T00:00:00"/>
        <d v="2021-11-02T00:00:00"/>
        <d v="2021-11-03T00:00:00"/>
        <d v="2021-11-09T00:00:00"/>
        <d v="2021-12-11T00:00:00"/>
        <d v="2021-11-11T00:00:00"/>
        <d v="2021-11-13T00:00:00"/>
        <d v="2021-11-12T00:00:00"/>
        <d v="2021-11-18T00:00:00"/>
        <d v="2021-11-15T00:00:00"/>
        <d v="2021-11-28T00:00:00"/>
        <d v="2021-11-29T00:00:00"/>
        <d v="2021-11-20T00:00:00"/>
        <d v="2021-11-24T00:00:00"/>
        <d v="2021-12-12T00:00:00"/>
        <d v="2021-11-23T00:00:00"/>
        <d v="2021-11-26T00:00:00"/>
        <d v="2021-12-04T00:00:00"/>
        <d v="2021-12-02T00:00:00"/>
        <d v="2021-12-03T00:00:00"/>
        <d v="2022-01-03T00:00:00"/>
        <d v="2021-12-05T00:00:00"/>
        <d v="2021-12-07T00:00:00"/>
        <d v="2021-12-14T00:00:00"/>
        <d v="2021-12-09T00:00:00"/>
        <d v="2021-12-17T00:00:00"/>
        <d v="2021-12-13T00:00:00"/>
        <d v="2021-12-15T00:00:00"/>
        <d v="2021-12-16T00:00:00"/>
        <d v="2021-12-31T00:00:00"/>
        <d v="2021-12-19T00:00:00"/>
        <d v="2021-12-22T00:00:00"/>
        <d v="2021-12-24T00:00:00"/>
        <d v="2022-01-10T00:00:00"/>
        <d v="2021-12-23T00:00:00"/>
        <d v="2021-12-26T00:00:00"/>
        <d v="2021-12-28T00:00:00"/>
        <d v="2022-01-01T00:00:00"/>
        <d v="2022-01-15T00:00:00"/>
        <d v="2022-01-05T00:00:00"/>
        <d v="2022-01-07T00:00:00"/>
        <d v="2022-01-08T00:00:00"/>
        <d v="2022-01-09T00:00:00"/>
        <d v="2022-01-11T00:00:00"/>
        <d v="2022-01-13T00:00:00"/>
        <d v="2022-01-14T00:00:00"/>
        <d v="2022-03-01T00:00:00"/>
        <d v="2022-01-18T00:00:00"/>
        <d v="2022-01-28T00:00:00"/>
        <d v="2022-01-20T00:00:00"/>
        <d v="2022-02-14T00:00:00"/>
        <d v="2022-03-20T00:00:00"/>
        <d v="2022-01-24T00:00:00"/>
        <d v="2022-01-25T00:00:00"/>
        <d v="2022-06-15T00:00:00"/>
        <d v="2022-02-06T00:00:00"/>
        <d v="2022-01-30T00:00:00"/>
        <d v="2022-02-01T00:00:00"/>
        <d v="2022-02-28T00:00:00"/>
        <d v="2022-02-02T00:00:00"/>
        <d v="2022-04-01T00:00:00"/>
        <d v="2022-02-03T00:00:00"/>
        <d v="2022-02-04T00:00:00"/>
        <d v="2022-02-08T00:00:00"/>
        <d v="2022-02-05T00:00:00"/>
        <d v="2022-02-09T00:00:00"/>
        <d v="2022-02-12T00:00:00"/>
        <d v="2022-03-10T00:00:00"/>
        <d v="2022-02-11T00:00:00"/>
        <d v="2022-03-18T00:00:00"/>
        <d v="2022-02-16T00:00:00"/>
        <d v="2022-02-17T00:00:00"/>
        <d v="2022-02-19T00:00:00"/>
        <d v="2022-03-14T00:00:00"/>
        <d v="2022-02-22T00:00:00"/>
        <d v="2022-02-21T00:00:00"/>
        <d v="2022-02-26T00:00:00"/>
        <d v="2022-02-23T00:00:00"/>
        <d v="2022-03-05T00:00:00"/>
        <d v="2022-05-11T00:00:00"/>
        <d v="2022-03-30T00:00:00"/>
        <d v="2022-03-02T00:00:00"/>
        <d v="2022-03-04T00:00:00"/>
        <d v="2022-03-07T00:00:00"/>
        <d v="2022-03-03T00:00:00"/>
        <d v="2022-03-12T00:00:00"/>
        <d v="2022-03-15T00:00:00"/>
        <d v="2022-03-17T00:00:00"/>
        <d v="2022-03-19T00:00:00"/>
        <d v="2022-03-21T00:00:00"/>
        <d v="2022-03-22T00:00:00"/>
        <d v="2022-03-23T00:00:00"/>
        <d v="2022-03-24T00:00:00"/>
        <d v="2022-03-25T00:00:00"/>
        <d v="2022-03-26T00:00:00"/>
        <d v="2022-03-28T00:00:00"/>
        <d v="2022-04-30T00:00:00"/>
        <d v="2022-04-02T00:00:00"/>
        <d v="2022-04-04T00:00:00"/>
        <d v="2022-04-20T00:00:00"/>
        <d v="2022-04-08T00:00:00"/>
        <d v="2022-04-06T00:00:00"/>
        <d v="2022-04-07T00:00:00"/>
        <d v="2022-04-26T00:00:00"/>
        <d v="2022-04-12T00:00:00"/>
        <d v="2022-04-16T00:00:00"/>
        <d v="2022-04-18T00:00:00"/>
        <d v="2022-04-22T00:00:00"/>
        <d v="2022-06-22T00:00:00"/>
        <d v="2022-04-23T00:00:00"/>
        <d v="2022-04-24T00:00:00"/>
        <d v="2022-04-29T00:00:00"/>
        <d v="2022-05-25T00:00:00"/>
        <d v="2022-05-30T00:00:00"/>
        <d v="2022-05-10T00:00:00"/>
        <d v="2022-05-05T00:00:00"/>
        <d v="2022-05-26T00:00:00"/>
        <d v="2022-06-07T00:00:00"/>
        <d v="2022-05-15T00:00:00"/>
        <d v="2022-05-20T00:00:00"/>
        <d v="2022-05-24T00:00:00"/>
        <d v="2022-07-02T00:00:00"/>
        <d v="2022-05-31T00:00:00"/>
        <d v="2022-05-28T00:00:00"/>
        <d v="2022-07-01T00:00:00"/>
        <d v="2022-06-03T00:00:00"/>
        <d v="2022-06-04T00:00:00"/>
        <d v="2022-06-09T00:00:00"/>
        <d v="2022-06-10T00:00:00"/>
        <d v="2022-06-13T00:00:00"/>
        <d v="2022-06-16T00:00:00"/>
        <d v="2022-06-17T00:00:00"/>
        <d v="2022-06-18T00:00:00"/>
        <d v="2022-06-20T00:00:00"/>
        <d v="2022-06-21T00:00:00"/>
        <d v="2023-11-28T00:00:00"/>
        <d v="2023-01-07T00:00:00"/>
        <d v="2023-01-15T00:00:00"/>
        <d v="2023-01-10T00:00:00"/>
        <s v="c"/>
        <d v="2023-02-24T00:00:00"/>
        <d v="2023-02-18T00:00:00"/>
        <d v="2023-02-17T00:00:00"/>
        <d v="2023-03-02T00:00:00"/>
        <d v="2023-03-30T00:00:00"/>
        <d v="2023-03-20T00:00:00"/>
        <d v="2023-03-09T00:00:00"/>
        <d v="2023-03-06T00:00:00"/>
        <d v="2023-03-15T00:00:00"/>
        <d v="2023-03-08T00:00:00"/>
        <d v="2023-03-11T00:00:00"/>
        <d v="2023-03-18T00:00:00"/>
        <d v="2023-03-19T00:00:00"/>
        <d v="2023-03-21T00:00:00"/>
        <d v="2023-03-22T00:00:00"/>
        <d v="2023-03-23T00:00:00"/>
        <d v="2023-03-28T00:00:00"/>
        <d v="2023-03-27T00:00:00"/>
        <d v="2023-04-04T00:00:00"/>
        <d v="2023-04-07T00:00:00"/>
        <d v="2023-04-05T00:00:00"/>
        <d v="2023-04-03T00:00:00"/>
        <d v="2023-04-06T00:00:00"/>
        <d v="2023-04-14T00:00:00"/>
        <d v="2023-04-12T00:00:00"/>
        <d v="2023-04-15T00:00:00"/>
        <d v="2023-04-18T00:00:00"/>
        <d v="2023-04-30T00:00:00"/>
        <d v="2023-04-28T00:00:00"/>
        <d v="2023-04-29T00:00:00"/>
        <d v="2026-06-05T00:00:00"/>
        <d v="2023-05-02T00:00:00"/>
        <d v="2023-05-03T00:00:00"/>
        <d v="2023-05-04T00:00:00"/>
        <d v="2023-05-08T00:00:00"/>
        <d v="2023-05-09T00:00:00"/>
        <d v="2023-05-11T00:00:00"/>
        <d v="2023-05-13T00:00:00"/>
        <d v="2023-05-12T00:00:00"/>
        <d v="2023-05-17T00:00:00"/>
        <d v="2023-05-15T00:00:00"/>
        <d v="2023-05-18T00:00:00"/>
        <d v="2023-05-19T00:00:00"/>
        <d v="2023-05-22T00:00:00"/>
        <d v="2023-05-25T00:00:00"/>
        <d v="2023-05-23T00:00:00"/>
        <d v="2023-05-27T00:00:00"/>
        <d v="2023-05-26T00:00:00"/>
        <d v="2023-05-28T00:00:00"/>
        <d v="2023-05-30T00:00:00"/>
        <d v="2023-06-02T00:00:00"/>
        <d v="2023-06-05T00:00:00"/>
        <d v="2023-06-07T00:00:00"/>
        <d v="2023-06-06T00:00:00"/>
        <d v="2023-06-08T00:00:00"/>
        <d v="2023-06-10T00:00:00"/>
        <d v="2023-06-11T00:00:00"/>
        <d v="2023-06-17T00:00:00"/>
        <d v="2023-06-20T00:00:00"/>
        <d v="2023-06-23T00:00:00"/>
        <d v="2023-06-18T00:00:00"/>
        <d v="2023-06-24T00:00:00"/>
        <d v="2023-06-21T00:00:00"/>
        <d v="2023-06-22T00:00:00"/>
        <d v="2023-07-05T00:00:00"/>
        <d v="2023-07-08T00:00:00"/>
        <d v="2023-07-06T00:00:00"/>
        <d v="2023-07-15T00:00:00"/>
        <d v="2023-07-13T00:00:00"/>
        <d v="2023-08-26T00:00:00"/>
        <d v="2023-07-18T00:00:00"/>
        <d v="2023-07-20T00:00:00"/>
        <d v="2023-07-24T00:00:00"/>
        <d v="2023-08-02T00:00:00"/>
        <d v="2023-07-26T00:00:00"/>
        <d v="2023-07-27T00:00:00"/>
        <d v="2023-07-28T00:00:00"/>
        <d v="2023-07-29T00:00:00"/>
        <d v="2023-08-06T00:00:00"/>
        <d v="2023-08-15T00:00:00"/>
        <d v="2023-08-03T00:00:00"/>
        <d v="2023-08-05T00:00:00"/>
        <d v="2023-08-23T00:00:00"/>
        <d v="2023-08-22T00:00:00"/>
        <d v="2023-08-13T00:00:00"/>
        <d v="2023-08-25T00:00:00"/>
        <d v="2023-08-29T00:00:00"/>
        <d v="2023-08-31T00:00:00"/>
        <d v="2023-09-07T00:00:00"/>
        <d v="2023-09-10T00:00:00"/>
        <d v="2023-09-14T00:00:00"/>
        <d v="2023-09-30T00:00:00"/>
        <d v="2023-09-24T00:00:00"/>
        <d v="2023-09-26T00:00:00"/>
        <d v="2023-10-07T00:00:00"/>
        <d v="2023-10-04T00:00:00"/>
        <d v="2023-10-16T00:00:00"/>
        <d v="2023-10-05T00:00:00"/>
        <d v="2023-10-06T00:00:00"/>
        <d v="2023-10-09T00:00:00"/>
        <d v="2023-10-30T00:00:00"/>
        <d v="2023-10-10T00:00:00"/>
        <d v="2023-11-15T00:00:00"/>
        <d v="2023-10-26T00:00:00"/>
        <d v="2023-10-22T00:00:00"/>
        <d v="2023-10-12T00:00:00"/>
        <d v="2023-10-23T00:00:00"/>
        <d v="2023-10-20T00:00:00"/>
        <d v="2023-10-18T00:00:00"/>
        <d v="2023-10-29T00:00:00"/>
        <d v="2023-11-01T00:00:00"/>
        <d v="2023-11-30T00:00:00"/>
        <d v="2023-11-02T00:00:00"/>
        <d v="2023-11-03T00:00:00"/>
        <d v="2023-11-07T00:00:00"/>
        <d v="2023-11-11T00:00:00"/>
        <d v="2023-11-16T00:00:00"/>
        <d v="2023-11-20T00:00:00"/>
        <d v="2023-11-21T00:00:00"/>
        <d v="2023-11-22T00:00:00"/>
        <d v="2023-11-27T00:00:00"/>
        <d v="2023-11-29T00:00:00"/>
        <d v="2023-12-20T00:00:00"/>
        <d v="2023-12-16T00:00:00"/>
        <d v="2023-12-14T00:00:00"/>
        <d v="2023-12-30T00:00:00"/>
        <d v="2023-12-25T00:00:00"/>
        <d v="2023-12-27T00:00:00"/>
        <d v="2023-12-31T00:00:00"/>
        <d v="2024-01-02T00:00:00"/>
        <d v="2024-01-12T00:00:00"/>
        <d v="2024-01-07T00:00:00"/>
        <d v="2024-01-03T00:00:00"/>
        <d v="2024-01-08T00:00:00"/>
        <d v="2024-01-06T00:00:00"/>
        <d v="2024-01-04T00:00:00"/>
        <d v="2024-01-11T00:00:00"/>
        <d v="2024-01-10T00:00:00"/>
        <d v="2024-01-16T00:00:00"/>
        <d v="2024-01-17T00:00:00"/>
        <d v="2024-01-22T00:00:00"/>
        <d v="2024-01-21T00:00:00"/>
        <d v="2024-01-29T00:00:00"/>
        <d v="2024-01-26T00:00:00"/>
        <s v="24/01/224"/>
        <d v="2024-01-27T00:00:00"/>
        <d v="2024-01-30T00:00:00"/>
        <d v="2024-01-31T00:00:00"/>
        <d v="2024-02-01T00:00:00"/>
        <d v="2024-02-09T00:00:00"/>
        <d v="2024-02-02T00:00:00"/>
        <d v="2024-02-04T00:00:00"/>
        <d v="2024-02-03T00:00:00"/>
        <d v="2024-02-22T00:00:00"/>
        <d v="2024-02-07T00:00:00"/>
        <s v="08/02/224"/>
        <d v="2024-02-08T00:00:00"/>
        <d v="2024-02-10T00:00:00"/>
        <d v="2024-02-12T00:00:00"/>
        <d v="2024-02-14T00:00:00"/>
        <d v="2024-02-24T00:00:00"/>
        <d v="2024-02-17T00:00:00"/>
        <d v="2024-02-28T00:00:00"/>
        <d v="2024-02-21T00:00:00"/>
        <d v="2024-02-23T00:00:00"/>
        <d v="2024-02-26T00:00:00"/>
        <d v="2024-03-01T00:00:00"/>
        <d v="2024-03-15T00:00:00"/>
        <d v="2024-03-06T00:00:00"/>
        <d v="2024-03-05T00:00:00"/>
        <d v="2024-03-08T00:00:00"/>
        <d v="2024-03-12T00:00:00"/>
        <d v="2024-03-13T00:00:00"/>
        <d v="2024-03-24T00:00:00"/>
        <d v="2024-03-23T00:00:00"/>
        <d v="2024-03-25T00:00:00"/>
        <d v="2024-03-20T00:00:00"/>
        <d v="2024-03-19T00:00:00"/>
        <d v="2024-03-22T00:00:00"/>
        <d v="2024-03-21T00:00:00"/>
        <d v="2024-03-31T00:00:00"/>
        <d v="2024-03-27T00:00:00"/>
        <d v="2024-03-28T00:00:00"/>
        <d v="2024-04-01T00:00:00"/>
        <d v="2024-04-08T00:00:00"/>
        <d v="2024-04-02T00:00:00"/>
        <d v="2024-04-09T00:00:00"/>
        <d v="2024-04-04T00:00:00"/>
        <d v="2024-04-05T00:00:00"/>
        <d v="2024-04-18T00:00:00"/>
        <d v="2024-04-17T00:00:00"/>
        <d v="2024-05-06T00:00:00"/>
        <d v="2024-04-28T00:00:00"/>
        <d v="2024-04-22T00:00:00"/>
        <d v="2024-04-23T00:00:00"/>
        <d v="2024-04-25T00:00:00"/>
        <d v="2024-04-27T00:00:00"/>
        <d v="2024-04-30T00:00:00"/>
        <d v="2024-05-03T00:00:00"/>
        <d v="2024-05-23T00:00:00"/>
        <d v="2024-05-02T00:00:00"/>
        <d v="2024-05-05T00:00:00"/>
        <d v="2024-05-10T00:00:00"/>
        <d v="2024-05-07T00:00:00"/>
        <d v="2024-05-08T00:00:00"/>
        <d v="2024-05-13T00:00:00"/>
        <d v="2024-05-16T00:00:00"/>
        <d v="2024-05-14T00:00:00"/>
        <d v="2024-05-22T00:00:00"/>
        <d v="2024-05-18T00:00:00"/>
        <d v="2024-05-25T00:00:00"/>
        <d v="2024-05-27T00:00:00"/>
        <d v="2024-05-31T00:00:00"/>
        <d v="2024-06-05T00:00:00"/>
        <d v="2024-06-10T00:00:00"/>
        <d v="2024-06-08T00:00:00"/>
        <d v="2024-06-13T00:00:00"/>
        <d v="2024-06-14T00:00:00"/>
        <s v="150/06/2024"/>
        <d v="2024-06-18T00:00:00"/>
        <d v="2024-06-15T00:00:00"/>
        <d v="2024-06-25T00:00:00"/>
        <d v="2024-06-27T00:00:00"/>
        <d v="2024-07-03T00:00:00"/>
        <d v="2024-07-08T00:00:00"/>
        <d v="2024-07-14T00:00:00"/>
        <d v="2024-07-20T00:00:00"/>
        <d v="2024-07-15T00:00:00"/>
        <d v="2024-07-21T00:00:00"/>
        <d v="2024-07-17T00:00:00"/>
        <d v="2024-07-19T00:00:00"/>
        <d v="2024-07-23T00:00:00"/>
        <d v="2024-07-31T00:00:00"/>
        <d v="2024-07-24T00:00:00"/>
        <d v="2024-07-25T00:00:00"/>
        <d v="2024-08-01T00:00:00"/>
        <d v="2024-12-04T00:00:00"/>
        <d v="2024-08-02T00:00:00"/>
        <d v="2024-08-04T00:00:00"/>
        <d v="2024-08-03T00:00:00"/>
        <d v="2024-08-06T00:00:00"/>
        <d v="2024-08-08T00:00:00"/>
        <d v="2024-08-13T00:00:00"/>
        <s v="Je pense que j’ai tout les compétences que vous recherchez au poste d’un technicien" u="1"/>
        <d v="2021-08-16T00:00:00" u="1"/>
        <s v="ESSABER Abdelaziz .mécanicien poids lourd avec expérience de dix ans dans le domaine" u="1"/>
        <d v="2021-08-28T00:00:00" u="1"/>
        <d v="2020-01-01T00:00:00" u="1"/>
        <s v="Je veux adresse ma candidature dans le groupe OCP pour le poste technicien de réparation ou responsable d’atelier selon mon expérience qui a retenue toute mon attention " u="1"/>
        <d v="2021-08-23T00:00:00" u="1"/>
      </sharedItems>
    </cacheField>
    <cacheField name="Observations / Avancement" numFmtId="0">
      <sharedItems containsDate="1" containsString="0" containsBlank="1" containsMixedTypes="1" minDate="2021-10-02T00:00:00" maxDate="1899-12-31T01:43:04" count="6">
        <m/>
        <d v="2021-10-02T00:00:00"/>
        <n v="1"/>
        <n v="90"/>
        <n v="176"/>
        <n v="9" u="1"/>
      </sharedItems>
    </cacheField>
    <cacheField name="Rappel" numFmtId="0">
      <sharedItems containsNonDate="0" containsString="0" containsBlank="1"/>
    </cacheField>
    <cacheField name="Mois" numFmtId="0">
      <sharedItems containsBlank="1" containsMixedTypes="1" containsNumber="1" containsInteger="1" minValue="1" maxValue="12" count="15">
        <e v="#REF!"/>
        <n v="1"/>
        <s v=" "/>
        <m/>
        <n v="11" u="1"/>
        <n v="12" u="1"/>
        <n v="6" u="1"/>
        <n v="3" u="1"/>
        <n v="7" u="1"/>
        <n v="8" u="1"/>
        <n v="4" u="1"/>
        <n v="2" u="1"/>
        <n v="9" u="1"/>
        <n v="10" u="1"/>
        <n v="5" u="1"/>
      </sharedItems>
    </cacheField>
    <cacheField name="An" numFmtId="0">
      <sharedItems containsBlank="1" containsMixedTypes="1" containsNumber="1" containsInteger="1" minValue="1900" maxValue="2024" count="10">
        <e v="#REF!"/>
        <n v="2024"/>
        <m/>
        <n v="2022" u="1"/>
        <n v="2023" u="1"/>
        <n v="1900" u="1"/>
        <n v="2002" u="1"/>
        <n v="2019" u="1"/>
        <n v="2020" u="1"/>
        <n v="2021"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06">
  <r>
    <d v="2002-07-13T00:00:00"/>
    <x v="0"/>
    <x v="0"/>
    <x v="0"/>
    <x v="0"/>
    <n v="25609"/>
    <s v="Entretien"/>
    <s v="vidange"/>
    <x v="0"/>
    <s v="vidange d'huile moteur 15W40 et changement filtre et filtre a huile a gasoil et filtre a air_x000a_255314 km"/>
    <n v="166239"/>
    <n v="120"/>
    <n v="120"/>
    <x v="0"/>
    <m/>
    <m/>
    <x v="0"/>
    <x v="0"/>
  </r>
  <r>
    <d v="2019-11-01T00:00:00"/>
    <x v="1"/>
    <x v="1"/>
    <x v="1"/>
    <x v="1"/>
    <m/>
    <s v="Roue arriere "/>
    <s v="bruit anormale"/>
    <x v="0"/>
    <s v="changement du trampette d'essieu arriere complet a cause _x000a_d'endommagement du cote roullement  coté gauche ( achat du laferaille )"/>
    <m/>
    <m/>
    <m/>
    <x v="1"/>
    <m/>
    <m/>
    <x v="0"/>
    <x v="0"/>
  </r>
  <r>
    <d v="2019-11-01T00:00:00"/>
    <x v="2"/>
    <x v="2"/>
    <x v="2"/>
    <x v="2"/>
    <m/>
    <s v="Système electrique"/>
    <s v="mal fonction"/>
    <x v="0"/>
    <s v="réparation du tondeur du courroie et_x000a_ changement de courroie de d'alternateur"/>
    <m/>
    <m/>
    <s v=""/>
    <x v="1"/>
    <m/>
    <m/>
    <x v="0"/>
    <x v="0"/>
  </r>
  <r>
    <d v="2019-11-04T00:00:00"/>
    <x v="3"/>
    <x v="1"/>
    <x v="3"/>
    <x v="3"/>
    <m/>
    <s v="Grue de levage"/>
    <s v="materielle"/>
    <x v="0"/>
    <s v="changement d'elingue de levage des palettes"/>
    <m/>
    <m/>
    <m/>
    <x v="2"/>
    <m/>
    <m/>
    <x v="0"/>
    <x v="0"/>
  </r>
  <r>
    <d v="2019-11-04T00:00:00"/>
    <x v="4"/>
    <x v="1"/>
    <x v="3"/>
    <x v="4"/>
    <m/>
    <s v="Grue de levage"/>
    <s v="materielle"/>
    <x v="0"/>
    <s v="changement d'elingue de levage des palettes"/>
    <m/>
    <m/>
    <m/>
    <x v="2"/>
    <m/>
    <m/>
    <x v="0"/>
    <x v="0"/>
  </r>
  <r>
    <d v="2019-11-06T00:00:00"/>
    <x v="5"/>
    <x v="3"/>
    <x v="3"/>
    <x v="5"/>
    <m/>
    <s v="Moteur"/>
    <s v="bruit anormale"/>
    <x v="0"/>
    <s v="changement du support de ventilateur de refroidissemen _x000a_moteur avec roullement ref 58554"/>
    <m/>
    <m/>
    <m/>
    <x v="3"/>
    <m/>
    <m/>
    <x v="0"/>
    <x v="0"/>
  </r>
  <r>
    <d v="2019-11-07T00:00:00"/>
    <x v="6"/>
    <x v="4"/>
    <x v="4"/>
    <x v="6"/>
    <m/>
    <s v="Accessoire "/>
    <s v="plaque de signale"/>
    <x v="0"/>
    <s v="equippement d'engin par galet de securité et plaque d'en panne"/>
    <m/>
    <m/>
    <m/>
    <x v="4"/>
    <m/>
    <m/>
    <x v="0"/>
    <x v="0"/>
  </r>
  <r>
    <d v="2019-11-07T00:00:00"/>
    <x v="7"/>
    <x v="1"/>
    <x v="5"/>
    <x v="7"/>
    <m/>
    <s v="Moteur"/>
    <s v="vidange"/>
    <x v="1"/>
    <s v="vidange d'huile moteur 15W40  341057 km "/>
    <m/>
    <m/>
    <m/>
    <x v="4"/>
    <m/>
    <m/>
    <x v="0"/>
    <x v="0"/>
  </r>
  <r>
    <d v="2019-11-07T00:00:00"/>
    <x v="8"/>
    <x v="3"/>
    <x v="6"/>
    <x v="8"/>
    <m/>
    <s v="Accessoire "/>
    <s v="materielle"/>
    <x v="0"/>
    <s v="changement du gilet de securité"/>
    <m/>
    <m/>
    <m/>
    <x v="4"/>
    <m/>
    <m/>
    <x v="0"/>
    <x v="0"/>
  </r>
  <r>
    <d v="2019-11-07T00:00:00"/>
    <x v="9"/>
    <x v="5"/>
    <x v="7"/>
    <x v="9"/>
    <m/>
    <s v="Accessoire "/>
    <s v="materielle"/>
    <x v="0"/>
    <s v="changement d'eixtincteur "/>
    <m/>
    <m/>
    <m/>
    <x v="4"/>
    <m/>
    <m/>
    <x v="0"/>
    <x v="0"/>
  </r>
  <r>
    <d v="2019-11-12T00:00:00"/>
    <x v="10"/>
    <x v="1"/>
    <x v="8"/>
    <x v="10"/>
    <m/>
    <s v="Grue de levage"/>
    <s v="materielle"/>
    <x v="0"/>
    <s v="changement d'elingue de levage des palettes"/>
    <m/>
    <m/>
    <m/>
    <x v="5"/>
    <m/>
    <m/>
    <x v="0"/>
    <x v="0"/>
  </r>
  <r>
    <d v="2019-11-12T00:00:00"/>
    <x v="11"/>
    <x v="3"/>
    <x v="3"/>
    <x v="11"/>
    <m/>
    <s v="Système electrique"/>
    <s v="eclairage"/>
    <x v="0"/>
    <s v="réparation d'eclairage et changemet des lampes "/>
    <m/>
    <m/>
    <m/>
    <x v="5"/>
    <m/>
    <m/>
    <x v="0"/>
    <x v="0"/>
  </r>
  <r>
    <d v="2019-11-12T00:00:00"/>
    <x v="8"/>
    <x v="3"/>
    <x v="6"/>
    <x v="8"/>
    <m/>
    <s v="Système electrique"/>
    <s v="eclairage"/>
    <x v="0"/>
    <s v="réparation d'eclairage et changemet des lampes "/>
    <m/>
    <m/>
    <m/>
    <x v="5"/>
    <m/>
    <m/>
    <x v="0"/>
    <x v="0"/>
  </r>
  <r>
    <d v="2019-11-12T00:00:00"/>
    <x v="12"/>
    <x v="3"/>
    <x v="3"/>
    <x v="12"/>
    <m/>
    <s v="Système electrique"/>
    <s v="eclairage"/>
    <x v="0"/>
    <s v="réparation d'eclairage et changemet des lampes "/>
    <m/>
    <m/>
    <m/>
    <x v="5"/>
    <m/>
    <m/>
    <x v="0"/>
    <x v="0"/>
  </r>
  <r>
    <d v="2019-11-13T00:00:00"/>
    <x v="13"/>
    <x v="1"/>
    <x v="5"/>
    <x v="13"/>
    <m/>
    <s v="Direction assisté"/>
    <s v="vidange"/>
    <x v="0"/>
    <s v="réparation du probleme de direction assisté"/>
    <m/>
    <m/>
    <m/>
    <x v="6"/>
    <m/>
    <m/>
    <x v="0"/>
    <x v="0"/>
  </r>
  <r>
    <d v="2019-11-14T00:00:00"/>
    <x v="10"/>
    <x v="1"/>
    <x v="8"/>
    <x v="10"/>
    <m/>
    <s v="Embrayage "/>
    <s v="mal fonction"/>
    <x v="0"/>
    <s v="réparation et réglage du jeu d'embrayage _x000a_purge du circuit d'huile"/>
    <m/>
    <m/>
    <m/>
    <x v="7"/>
    <m/>
    <m/>
    <x v="0"/>
    <x v="0"/>
  </r>
  <r>
    <d v="2019-11-15T00:00:00"/>
    <x v="14"/>
    <x v="6"/>
    <x v="9"/>
    <x v="2"/>
    <m/>
    <s v="Mécanique"/>
    <m/>
    <x v="0"/>
    <s v="changement du brosse de netoyage _x000a_changement battrie de démarrage + courroie de ventulateur +vidange d'huile moteur et changeent du filtre a huile + gasoil+ hydraulique _x000a_répartion et soudage du goudet de netoyage "/>
    <m/>
    <m/>
    <s v=""/>
    <x v="8"/>
    <m/>
    <m/>
    <x v="0"/>
    <x v="0"/>
  </r>
  <r>
    <d v="2019-11-16T00:00:00"/>
    <x v="5"/>
    <x v="3"/>
    <x v="3"/>
    <x v="5"/>
    <m/>
    <s v="Système electrique"/>
    <s v="electrique"/>
    <x v="0"/>
    <s v="réparation du probléme de démarrage "/>
    <m/>
    <m/>
    <m/>
    <x v="9"/>
    <m/>
    <m/>
    <x v="0"/>
    <x v="0"/>
  </r>
  <r>
    <d v="2019-11-16T00:00:00"/>
    <x v="8"/>
    <x v="3"/>
    <x v="6"/>
    <x v="8"/>
    <m/>
    <s v="Moteur"/>
    <s v="electrique"/>
    <x v="0"/>
    <s v="réparation du probleme de démarrage du moteur et changement des filtres et _x000a_netoyage du reservoire de gasoil"/>
    <m/>
    <m/>
    <m/>
    <x v="9"/>
    <m/>
    <m/>
    <x v="0"/>
    <x v="0"/>
  </r>
  <r>
    <d v="2019-11-16T00:00:00"/>
    <x v="10"/>
    <x v="1"/>
    <x v="8"/>
    <x v="10"/>
    <m/>
    <s v="Embrayage "/>
    <m/>
    <x v="0"/>
    <s v="changement du kit d'embrayage complet (disque ,plateau et butée )_x000a_changement du support cardon _x000a_changement du pompe d'embrayege inferieur_x000a_vidange d'huile moteur et pontarriere et boite de vitesse _x000a_576773 km"/>
    <n v="43792"/>
    <m/>
    <m/>
    <x v="9"/>
    <m/>
    <m/>
    <x v="0"/>
    <x v="0"/>
  </r>
  <r>
    <d v="2019-11-19T00:00:00"/>
    <x v="15"/>
    <x v="2"/>
    <x v="10"/>
    <x v="2"/>
    <m/>
    <s v="Entretien"/>
    <s v="vidange"/>
    <x v="1"/>
    <s v="mise a niveau d'huile hydraulique"/>
    <m/>
    <m/>
    <s v=""/>
    <x v="10"/>
    <m/>
    <m/>
    <x v="0"/>
    <x v="0"/>
  </r>
  <r>
    <d v="2019-11-20T00:00:00"/>
    <x v="16"/>
    <x v="1"/>
    <x v="5"/>
    <x v="14"/>
    <m/>
    <s v="Pneu"/>
    <s v="pneu"/>
    <x v="0"/>
    <s v="changement des quatre pneus ref 12R22,5"/>
    <m/>
    <m/>
    <m/>
    <x v="11"/>
    <m/>
    <m/>
    <x v="0"/>
    <x v="0"/>
  </r>
  <r>
    <d v="2019-11-21T00:00:00"/>
    <x v="17"/>
    <x v="5"/>
    <x v="11"/>
    <x v="15"/>
    <m/>
    <s v="Système electrique"/>
    <s v="eclairage"/>
    <x v="0"/>
    <s v="réparation du probleme d'eclairage "/>
    <m/>
    <m/>
    <m/>
    <x v="12"/>
    <m/>
    <m/>
    <x v="0"/>
    <x v="0"/>
  </r>
  <r>
    <d v="2019-11-22T00:00:00"/>
    <x v="11"/>
    <x v="3"/>
    <x v="3"/>
    <x v="11"/>
    <m/>
    <s v="Moteur"/>
    <s v="mal fonction"/>
    <x v="0"/>
    <s v="changement du bouchon de gasoil "/>
    <m/>
    <m/>
    <m/>
    <x v="13"/>
    <m/>
    <m/>
    <x v="0"/>
    <x v="0"/>
  </r>
  <r>
    <d v="2019-11-22T00:00:00"/>
    <x v="18"/>
    <x v="1"/>
    <x v="5"/>
    <x v="16"/>
    <m/>
    <s v="Moteur"/>
    <s v="vidange"/>
    <x v="1"/>
    <s v="vidange d'huile moteur et changement di filtre  a huile et gasoil _x000a_lavage et graissage generale d'engin  _x000a_réparation du fuuite d'air comprimé_x000a_lavage et graissage generale d'engin "/>
    <m/>
    <m/>
    <m/>
    <x v="13"/>
    <m/>
    <m/>
    <x v="0"/>
    <x v="0"/>
  </r>
  <r>
    <d v="2019-11-22T00:00:00"/>
    <x v="19"/>
    <x v="7"/>
    <x v="12"/>
    <x v="2"/>
    <m/>
    <s v="Système electrique"/>
    <s v="mal fonction"/>
    <x v="0"/>
    <s v="réparation du probleme de mache avant arriere_x000a_mise a niveau d'huile hydraulique"/>
    <m/>
    <m/>
    <s v=""/>
    <x v="13"/>
    <m/>
    <m/>
    <x v="0"/>
    <x v="0"/>
  </r>
  <r>
    <d v="2019-11-22T00:00:00"/>
    <x v="7"/>
    <x v="1"/>
    <x v="5"/>
    <x v="7"/>
    <m/>
    <s v="suspension"/>
    <m/>
    <x v="0"/>
    <s v="réparation des element de susponsion "/>
    <n v="43792"/>
    <m/>
    <m/>
    <x v="13"/>
    <m/>
    <m/>
    <x v="0"/>
    <x v="0"/>
  </r>
  <r>
    <d v="2019-11-24T00:00:00"/>
    <x v="15"/>
    <x v="2"/>
    <x v="10"/>
    <x v="2"/>
    <m/>
    <s v="Roue arriere "/>
    <s v="mal fonction"/>
    <x v="0"/>
    <s v="changement du kit réparation d'axe fusee"/>
    <m/>
    <m/>
    <s v=""/>
    <x v="14"/>
    <m/>
    <m/>
    <x v="0"/>
    <x v="0"/>
  </r>
  <r>
    <d v="2019-11-25T00:00:00"/>
    <x v="20"/>
    <x v="1"/>
    <x v="6"/>
    <x v="17"/>
    <m/>
    <s v="Accessoire "/>
    <m/>
    <x v="0"/>
    <s v="montage des auto coulant"/>
    <m/>
    <m/>
    <m/>
    <x v="15"/>
    <m/>
    <m/>
    <x v="0"/>
    <x v="0"/>
  </r>
  <r>
    <d v="2019-11-26T00:00:00"/>
    <x v="8"/>
    <x v="3"/>
    <x v="6"/>
    <x v="8"/>
    <m/>
    <s v="Freinage "/>
    <m/>
    <x v="0"/>
    <s v="changement du came de réglage frein cote arriere droit du tracteur et _x000a_optique avant droit"/>
    <m/>
    <m/>
    <m/>
    <x v="16"/>
    <m/>
    <m/>
    <x v="0"/>
    <x v="0"/>
  </r>
  <r>
    <d v="2019-11-26T00:00:00"/>
    <x v="7"/>
    <x v="1"/>
    <x v="5"/>
    <x v="7"/>
    <m/>
    <s v="Grue de levage"/>
    <m/>
    <x v="0"/>
    <m/>
    <m/>
    <m/>
    <m/>
    <x v="16"/>
    <m/>
    <m/>
    <x v="0"/>
    <x v="0"/>
  </r>
  <r>
    <d v="2019-11-28T00:00:00"/>
    <x v="21"/>
    <x v="2"/>
    <x v="13"/>
    <x v="2"/>
    <m/>
    <s v="Entretien"/>
    <s v="vidange"/>
    <x v="1"/>
    <s v="vidange d'huilemoteur 15W40_x000a_lavage tet graissage generale d'engin"/>
    <m/>
    <m/>
    <s v=""/>
    <x v="17"/>
    <m/>
    <m/>
    <x v="0"/>
    <x v="0"/>
  </r>
  <r>
    <d v="2019-11-28T00:00:00"/>
    <x v="22"/>
    <x v="2"/>
    <x v="14"/>
    <x v="2"/>
    <m/>
    <s v="Système electrique"/>
    <m/>
    <x v="0"/>
    <s v="réparation d'eclairage et changemet des lampes _x000a_"/>
    <m/>
    <m/>
    <s v=""/>
    <x v="17"/>
    <m/>
    <m/>
    <x v="0"/>
    <x v="0"/>
  </r>
  <r>
    <d v="2019-11-28T00:00:00"/>
    <x v="23"/>
    <x v="3"/>
    <x v="6"/>
    <x v="18"/>
    <m/>
    <s v="Pneu"/>
    <m/>
    <x v="0"/>
    <s v="réparation du crevaison pneu par meche de réparation "/>
    <n v="43797"/>
    <m/>
    <m/>
    <x v="17"/>
    <m/>
    <m/>
    <x v="0"/>
    <x v="0"/>
  </r>
  <r>
    <d v="2019-11-28T00:00:00"/>
    <x v="24"/>
    <x v="0"/>
    <x v="0"/>
    <x v="19"/>
    <m/>
    <s v="Moteur"/>
    <m/>
    <x v="1"/>
    <s v="vidange d'huile moteur et changement dufiltre a huile"/>
    <n v="43797"/>
    <m/>
    <m/>
    <x v="17"/>
    <m/>
    <m/>
    <x v="0"/>
    <x v="0"/>
  </r>
  <r>
    <d v="2019-11-30T00:00:00"/>
    <x v="16"/>
    <x v="1"/>
    <x v="5"/>
    <x v="14"/>
    <m/>
    <s v="Système electrique"/>
    <m/>
    <x v="0"/>
    <s v="réparation d'eclairage et changemet des lampes "/>
    <n v="43799"/>
    <m/>
    <m/>
    <x v="18"/>
    <m/>
    <m/>
    <x v="0"/>
    <x v="0"/>
  </r>
  <r>
    <d v="2019-11-30T00:00:00"/>
    <x v="25"/>
    <x v="1"/>
    <x v="1"/>
    <x v="20"/>
    <m/>
    <s v="Moteur"/>
    <m/>
    <x v="0"/>
    <s v="réparation du probleme de démarrage  "/>
    <n v="43799"/>
    <m/>
    <m/>
    <x v="18"/>
    <m/>
    <m/>
    <x v="0"/>
    <x v="0"/>
  </r>
  <r>
    <d v="2019-11-30T00:00:00"/>
    <x v="20"/>
    <x v="1"/>
    <x v="6"/>
    <x v="17"/>
    <m/>
    <s v="Freinage "/>
    <m/>
    <x v="0"/>
    <s v="réparation du probleme de freinage du roue arriere gauche et_x000a_ réglage du roue arriere droit et _x000a_réparation du levier de vitesse"/>
    <n v="43801"/>
    <m/>
    <m/>
    <x v="18"/>
    <m/>
    <m/>
    <x v="0"/>
    <x v="0"/>
  </r>
  <r>
    <d v="2019-11-30T00:00:00"/>
    <x v="16"/>
    <x v="1"/>
    <x v="5"/>
    <x v="14"/>
    <m/>
    <s v="Transmission"/>
    <m/>
    <x v="0"/>
    <s v="changement du support de cardon _x000a_vidange d'huile moteur et boite de vitesse et pont arriere _x000a_changeent du filtre a ahuile et filtre a gasoil _x000a_cangement du filtre a air _x000a_458477 km"/>
    <n v="43805"/>
    <m/>
    <m/>
    <x v="18"/>
    <m/>
    <m/>
    <x v="0"/>
    <x v="0"/>
  </r>
  <r>
    <d v="2019-11-30T00:00:00"/>
    <x v="26"/>
    <x v="2"/>
    <x v="15"/>
    <x v="2"/>
    <n v="22184"/>
    <s v="Mécanique"/>
    <m/>
    <x v="0"/>
    <s v="changement du boite vitesse endomage a cause d'usure du _x000a_pompe a huile de graissage _x000a_changement du convertisseur hydraulique_x000a_achat du leferaille _x000a_changement des galet de levage des fourches_x000a_vidange d'huile moteur 15W40 et changement du filtre a huile"/>
    <m/>
    <m/>
    <m/>
    <x v="18"/>
    <m/>
    <m/>
    <x v="0"/>
    <x v="0"/>
  </r>
  <r>
    <d v="2019-12-02T00:00:00"/>
    <x v="11"/>
    <x v="3"/>
    <x v="3"/>
    <x v="11"/>
    <m/>
    <s v="Système electrique"/>
    <m/>
    <x v="0"/>
    <s v="réparation d'eclairage et changemet des lampes "/>
    <n v="43801"/>
    <m/>
    <m/>
    <x v="19"/>
    <m/>
    <m/>
    <x v="0"/>
    <x v="0"/>
  </r>
  <r>
    <d v="2019-12-03T00:00:00"/>
    <x v="15"/>
    <x v="2"/>
    <x v="10"/>
    <x v="2"/>
    <m/>
    <s v="Entretien"/>
    <m/>
    <x v="1"/>
    <s v="vidange d'huile moteur 15W40   _x000a_lavage et graissag generale d'engin"/>
    <m/>
    <m/>
    <m/>
    <x v="20"/>
    <m/>
    <m/>
    <x v="0"/>
    <x v="0"/>
  </r>
  <r>
    <d v="2019-12-04T00:00:00"/>
    <x v="6"/>
    <x v="4"/>
    <x v="4"/>
    <x v="6"/>
    <m/>
    <s v="Contrôle "/>
    <m/>
    <x v="0"/>
    <s v="montage du système de GPS"/>
    <n v="43803"/>
    <m/>
    <m/>
    <x v="21"/>
    <m/>
    <m/>
    <x v="0"/>
    <x v="0"/>
  </r>
  <r>
    <d v="2019-12-05T00:00:00"/>
    <x v="26"/>
    <x v="2"/>
    <x v="15"/>
    <x v="2"/>
    <m/>
    <s v="Système electrique"/>
    <m/>
    <x v="0"/>
    <s v="changement des lampes"/>
    <m/>
    <m/>
    <s v=""/>
    <x v="22"/>
    <m/>
    <m/>
    <x v="0"/>
    <x v="0"/>
  </r>
  <r>
    <d v="2019-12-05T00:00:00"/>
    <x v="27"/>
    <x v="0"/>
    <x v="0"/>
    <x v="21"/>
    <m/>
    <s v="Pneu"/>
    <m/>
    <x v="0"/>
    <s v="changement du deux pneu ref 205/75R15"/>
    <n v="43804"/>
    <m/>
    <m/>
    <x v="22"/>
    <m/>
    <m/>
    <x v="0"/>
    <x v="0"/>
  </r>
  <r>
    <d v="2019-12-05T00:00:00"/>
    <x v="18"/>
    <x v="1"/>
    <x v="5"/>
    <x v="16"/>
    <m/>
    <s v="Carosserie"/>
    <s v="peinture "/>
    <x v="0"/>
    <s v="peinture generale d'engin _x000a_changement des pieces de carosserie _x000a_réparation d'eclairage "/>
    <s v="141027_x000a_141016_x000a_141020_x000a_141019_x000a_141019_x000a_141018_x000a_141025_x000a_141029_x000a_141035_x000a_141040_x000a_141041_x000a_141043_x000a_141278_x000a_141273_x000a_141270_x000a_141269"/>
    <s v="8550_x000a_16 jours"/>
    <s v="14280_x000a_26 jours"/>
    <x v="23"/>
    <m/>
    <m/>
    <x v="0"/>
    <x v="0"/>
  </r>
  <r>
    <d v="2019-12-06T00:00:00"/>
    <x v="5"/>
    <x v="3"/>
    <x v="3"/>
    <x v="5"/>
    <m/>
    <s v="Système electrique"/>
    <m/>
    <x v="0"/>
    <s v="réparation d'eclairage et changemet des lampes "/>
    <n v="43805"/>
    <m/>
    <m/>
    <x v="24"/>
    <m/>
    <m/>
    <x v="0"/>
    <x v="0"/>
  </r>
  <r>
    <d v="2019-12-07T00:00:00"/>
    <x v="28"/>
    <x v="2"/>
    <x v="13"/>
    <x v="2"/>
    <m/>
    <s v="Entretien"/>
    <m/>
    <x v="1"/>
    <s v="mise a niveau d'huile hydraulique"/>
    <m/>
    <m/>
    <s v=""/>
    <x v="25"/>
    <m/>
    <m/>
    <x v="0"/>
    <x v="0"/>
  </r>
  <r>
    <d v="2019-12-07T00:00:00"/>
    <x v="19"/>
    <x v="7"/>
    <x v="12"/>
    <x v="2"/>
    <m/>
    <s v="Système electrique"/>
    <m/>
    <x v="0"/>
    <s v="changement du deux battrie de démarrage L5 12V"/>
    <m/>
    <m/>
    <s v=""/>
    <x v="25"/>
    <m/>
    <m/>
    <x v="0"/>
    <x v="0"/>
  </r>
  <r>
    <d v="2019-12-07T00:00:00"/>
    <x v="20"/>
    <x v="1"/>
    <x v="6"/>
    <x v="17"/>
    <m/>
    <s v="Système electrique"/>
    <m/>
    <x v="0"/>
    <s v="fuite d'air _x000a_réparation d'eclairage et changement des lampes"/>
    <n v="43806"/>
    <m/>
    <m/>
    <x v="25"/>
    <m/>
    <m/>
    <x v="0"/>
    <x v="0"/>
  </r>
  <r>
    <d v="2019-12-09T00:00:00"/>
    <x v="29"/>
    <x v="2"/>
    <x v="16"/>
    <x v="2"/>
    <m/>
    <s v="Système electrique"/>
    <m/>
    <x v="0"/>
    <s v="changement du battrie ref L5 12V"/>
    <m/>
    <m/>
    <s v=""/>
    <x v="26"/>
    <m/>
    <m/>
    <x v="0"/>
    <x v="0"/>
  </r>
  <r>
    <d v="2019-12-09T00:00:00"/>
    <x v="23"/>
    <x v="3"/>
    <x v="6"/>
    <x v="18"/>
    <m/>
    <s v="Air comprimé"/>
    <m/>
    <x v="0"/>
    <s v="réparation du fuite d'air"/>
    <n v="43808"/>
    <m/>
    <m/>
    <x v="26"/>
    <m/>
    <m/>
    <x v="0"/>
    <x v="0"/>
  </r>
  <r>
    <d v="2019-12-09T00:00:00"/>
    <x v="25"/>
    <x v="1"/>
    <x v="1"/>
    <x v="20"/>
    <m/>
    <s v="Transmission"/>
    <m/>
    <x v="0"/>
    <s v="réparation du fixation du monchon de cardon de transmission"/>
    <n v="43809"/>
    <m/>
    <m/>
    <x v="26"/>
    <m/>
    <m/>
    <x v="0"/>
    <x v="0"/>
  </r>
  <r>
    <d v="2019-12-10T00:00:00"/>
    <x v="11"/>
    <x v="3"/>
    <x v="3"/>
    <x v="11"/>
    <m/>
    <s v="Pneu"/>
    <m/>
    <x v="0"/>
    <s v="réparation du crevaison pneu ref 315/80R22,5"/>
    <n v="43809"/>
    <m/>
    <m/>
    <x v="27"/>
    <m/>
    <m/>
    <x v="0"/>
    <x v="0"/>
  </r>
  <r>
    <d v="2019-12-10T00:00:00"/>
    <x v="13"/>
    <x v="1"/>
    <x v="5"/>
    <x v="13"/>
    <m/>
    <s v="Système electrique"/>
    <m/>
    <x v="0"/>
    <s v="réparation d'eclairage et changemet des lampes "/>
    <n v="43809"/>
    <m/>
    <m/>
    <x v="27"/>
    <m/>
    <m/>
    <x v="0"/>
    <x v="0"/>
  </r>
  <r>
    <d v="2019-12-10T00:00:00"/>
    <x v="20"/>
    <x v="1"/>
    <x v="6"/>
    <x v="17"/>
    <m/>
    <s v="Freinage "/>
    <m/>
    <x v="0"/>
    <s v="réparation du freinage et changement des plaquettes de frein et jeu de garniture de frein_x000a_deux disque de frein avant avec moyeude roue avant droit _x000a_garniture de frein arriere des arrét de graisse _x000a_démarreur complet _x000a_vidange d'huile de boite de vitessse et pont arriere et moteur _x000a_changement des filtre a huile et filtre a gasoile et filtre a air _x000a_788300km"/>
    <m/>
    <m/>
    <m/>
    <x v="27"/>
    <m/>
    <m/>
    <x v="0"/>
    <x v="0"/>
  </r>
  <r>
    <d v="2019-12-11T00:00:00"/>
    <x v="13"/>
    <x v="1"/>
    <x v="5"/>
    <x v="13"/>
    <m/>
    <s v="Entretien"/>
    <m/>
    <x v="1"/>
    <s v="vidange d'huile moteur15W40  et changement du filtre a huile + gasoil vidange d'huile de boite de vitesse et pont arriere km"/>
    <m/>
    <m/>
    <m/>
    <x v="28"/>
    <m/>
    <m/>
    <x v="0"/>
    <x v="0"/>
  </r>
  <r>
    <d v="2019-12-11T00:00:00"/>
    <x v="7"/>
    <x v="1"/>
    <x v="5"/>
    <x v="7"/>
    <m/>
    <s v="Système electrique"/>
    <m/>
    <x v="0"/>
    <s v="réparation d'eclairage"/>
    <m/>
    <m/>
    <m/>
    <x v="28"/>
    <m/>
    <m/>
    <x v="0"/>
    <x v="0"/>
  </r>
  <r>
    <d v="2019-12-12T00:00:00"/>
    <x v="22"/>
    <x v="2"/>
    <x v="14"/>
    <x v="2"/>
    <m/>
    <s v="Moteur"/>
    <m/>
    <x v="0"/>
    <s v="réparation du fuite au niveau du pompe a eau _x000a_vidange d'huile moteur 15W40"/>
    <m/>
    <m/>
    <s v=""/>
    <x v="29"/>
    <m/>
    <m/>
    <x v="0"/>
    <x v="0"/>
  </r>
  <r>
    <d v="2019-12-12T00:00:00"/>
    <x v="15"/>
    <x v="2"/>
    <x v="10"/>
    <x v="2"/>
    <m/>
    <s v="Entretien"/>
    <m/>
    <x v="1"/>
    <s v="mise a niveau d'huile hydraulique"/>
    <m/>
    <m/>
    <s v=""/>
    <x v="29"/>
    <m/>
    <m/>
    <x v="0"/>
    <x v="0"/>
  </r>
  <r>
    <d v="2019-12-12T00:00:00"/>
    <x v="1"/>
    <x v="1"/>
    <x v="1"/>
    <x v="1"/>
    <m/>
    <s v="Système electrique"/>
    <m/>
    <x v="0"/>
    <s v="réparation d'eclairage et changemet des lampes "/>
    <m/>
    <m/>
    <m/>
    <x v="29"/>
    <m/>
    <m/>
    <x v="0"/>
    <x v="0"/>
  </r>
  <r>
    <d v="2019-12-12T00:00:00"/>
    <x v="29"/>
    <x v="2"/>
    <x v="16"/>
    <x v="2"/>
    <m/>
    <s v="Entretien"/>
    <m/>
    <x v="0"/>
    <s v="Mise a niveau "/>
    <m/>
    <m/>
    <m/>
    <x v="29"/>
    <m/>
    <m/>
    <x v="0"/>
    <x v="0"/>
  </r>
  <r>
    <d v="2019-12-12T00:00:00"/>
    <x v="21"/>
    <x v="2"/>
    <x v="13"/>
    <x v="2"/>
    <n v="22180"/>
    <s v="Entretien"/>
    <m/>
    <x v="1"/>
    <s v="vidange d'huile moteur 15w40 ET R2PARATION DU FUITE DE GASOIL"/>
    <m/>
    <m/>
    <m/>
    <x v="29"/>
    <m/>
    <m/>
    <x v="0"/>
    <x v="0"/>
  </r>
  <r>
    <d v="2019-12-13T00:00:00"/>
    <x v="7"/>
    <x v="1"/>
    <x v="5"/>
    <x v="7"/>
    <m/>
    <s v="Système electrique"/>
    <m/>
    <x v="0"/>
    <s v="changement des cosses battrie et mise a niveau d'eau de battrie _x000a_changement du cope conique ( régularisation du facture )"/>
    <m/>
    <m/>
    <m/>
    <x v="30"/>
    <m/>
    <m/>
    <x v="0"/>
    <x v="0"/>
  </r>
  <r>
    <d v="2019-12-13T00:00:00"/>
    <x v="8"/>
    <x v="3"/>
    <x v="6"/>
    <x v="8"/>
    <m/>
    <s v="Pneu"/>
    <m/>
    <x v="0"/>
    <s v="réparation du crevaaison pneu ref 315/80R22,5"/>
    <m/>
    <m/>
    <m/>
    <x v="30"/>
    <m/>
    <m/>
    <x v="0"/>
    <x v="0"/>
  </r>
  <r>
    <d v="2019-12-13T00:00:00"/>
    <x v="21"/>
    <x v="2"/>
    <x v="13"/>
    <x v="2"/>
    <n v="22181"/>
    <s v="Système electrique"/>
    <m/>
    <x v="0"/>
    <s v="réparation du ponleme de démarrage "/>
    <m/>
    <m/>
    <m/>
    <x v="30"/>
    <m/>
    <m/>
    <x v="0"/>
    <x v="0"/>
  </r>
  <r>
    <d v="2019-12-15T00:00:00"/>
    <x v="3"/>
    <x v="1"/>
    <x v="3"/>
    <x v="3"/>
    <m/>
    <s v="Entretien"/>
    <m/>
    <x v="1"/>
    <s v="vidange systematique"/>
    <m/>
    <m/>
    <m/>
    <x v="31"/>
    <m/>
    <m/>
    <x v="0"/>
    <x v="0"/>
  </r>
  <r>
    <d v="2019-12-16T00:00:00"/>
    <x v="17"/>
    <x v="5"/>
    <x v="11"/>
    <x v="15"/>
    <m/>
    <s v="pneu "/>
    <m/>
    <x v="0"/>
    <s v="changement du deux pneu ref 205/75R15"/>
    <m/>
    <m/>
    <m/>
    <x v="32"/>
    <m/>
    <m/>
    <x v="0"/>
    <x v="0"/>
  </r>
  <r>
    <d v="2019-12-16T00:00:00"/>
    <x v="4"/>
    <x v="1"/>
    <x v="3"/>
    <x v="4"/>
    <m/>
    <s v="Entretien"/>
    <m/>
    <x v="1"/>
    <s v="vidange systematique"/>
    <m/>
    <m/>
    <m/>
    <x v="32"/>
    <m/>
    <m/>
    <x v="0"/>
    <x v="0"/>
  </r>
  <r>
    <d v="2019-12-16T00:00:00"/>
    <x v="2"/>
    <x v="2"/>
    <x v="2"/>
    <x v="2"/>
    <n v="22182"/>
    <s v="Système electrique"/>
    <m/>
    <x v="0"/>
    <s v="réparation d'eclairage "/>
    <m/>
    <m/>
    <m/>
    <x v="32"/>
    <m/>
    <m/>
    <x v="0"/>
    <x v="0"/>
  </r>
  <r>
    <d v="2019-12-16T00:00:00"/>
    <x v="21"/>
    <x v="2"/>
    <x v="13"/>
    <x v="2"/>
    <n v="22183"/>
    <s v="Système electrique"/>
    <m/>
    <x v="0"/>
    <s v="changement du solinoide de démarrage moteur (achat du laferaille )"/>
    <m/>
    <m/>
    <m/>
    <x v="32"/>
    <m/>
    <m/>
    <x v="0"/>
    <x v="0"/>
  </r>
  <r>
    <d v="2019-12-18T00:00:00"/>
    <x v="11"/>
    <x v="3"/>
    <x v="3"/>
    <x v="11"/>
    <m/>
    <s v="Système electrique"/>
    <m/>
    <x v="0"/>
    <s v="réparation d'eclairage"/>
    <m/>
    <m/>
    <m/>
    <x v="33"/>
    <m/>
    <m/>
    <x v="0"/>
    <x v="0"/>
  </r>
  <r>
    <d v="2019-12-18T00:00:00"/>
    <x v="30"/>
    <x v="0"/>
    <x v="17"/>
    <x v="22"/>
    <n v="22488"/>
    <s v="Carosserie"/>
    <m/>
    <x v="0"/>
    <s v="Peinture generale du carosserie et réparation d'eclairage _x000a_changemment des lampes et des feu laterale _x000a_changement du support moteur inferieuure _x000a_kit d'embrayage complet _x000a_changement du courroie de distribution moteur avec tondeur et _x000a_jeu de courroie d'accessoires avec tondeur _x000a_changement du kit d'embrayag complet   _x000a_des plaquettes de frein avant avece disque de frein avant    pipe d'eau _x000a_crimaillaiare de direction avec souflet  achat du laferaille _x000a_cardon coté droit _x000a_vidange d'huile moteur et changement des filtres _x000a_"/>
    <s v="142344_x000a_142314_x000a_142315_x000a_142121_x000a_143200_x000a_143177_x000a_133351_x000a_143359_x000a_143388_x000a_143365_x000a_142338_x000a_142335_x000a_142326_x000a_143164_x000a_142345"/>
    <n v="8550"/>
    <s v="34200_x000a_60 jours"/>
    <x v="34"/>
    <m/>
    <m/>
    <x v="0"/>
    <x v="0"/>
  </r>
  <r>
    <d v="2019-12-19T00:00:00"/>
    <x v="31"/>
    <x v="0"/>
    <x v="0"/>
    <x v="23"/>
    <m/>
    <s v="Entretien"/>
    <m/>
    <x v="1"/>
    <s v="vidange systematique"/>
    <m/>
    <m/>
    <m/>
    <x v="35"/>
    <m/>
    <m/>
    <x v="0"/>
    <x v="0"/>
  </r>
  <r>
    <d v="2019-12-23T00:00:00"/>
    <x v="1"/>
    <x v="1"/>
    <x v="1"/>
    <x v="1"/>
    <m/>
    <s v="Chassis "/>
    <m/>
    <x v="0"/>
    <s v="chngement des vis de fixation plateau sur chassis"/>
    <m/>
    <m/>
    <m/>
    <x v="36"/>
    <m/>
    <m/>
    <x v="0"/>
    <x v="0"/>
  </r>
  <r>
    <d v="2019-12-23T00:00:00"/>
    <x v="18"/>
    <x v="1"/>
    <x v="5"/>
    <x v="16"/>
    <m/>
    <s v="Entretien"/>
    <m/>
    <x v="2"/>
    <s v="entretien et vidange"/>
    <m/>
    <m/>
    <s v=""/>
    <x v="36"/>
    <m/>
    <m/>
    <x v="0"/>
    <x v="0"/>
  </r>
  <r>
    <d v="2019-12-23T00:00:00"/>
    <x v="15"/>
    <x v="2"/>
    <x v="10"/>
    <x v="2"/>
    <n v="22187"/>
    <s v="Entretien"/>
    <m/>
    <x v="0"/>
    <s v="Mise a niveau "/>
    <m/>
    <m/>
    <m/>
    <x v="36"/>
    <m/>
    <m/>
    <x v="0"/>
    <x v="0"/>
  </r>
  <r>
    <d v="2019-12-24T00:00:00"/>
    <x v="32"/>
    <x v="2"/>
    <x v="2"/>
    <x v="2"/>
    <n v="22185"/>
    <s v="Entretien"/>
    <m/>
    <x v="0"/>
    <s v="entretien et vidange"/>
    <m/>
    <m/>
    <m/>
    <x v="37"/>
    <m/>
    <m/>
    <x v="0"/>
    <x v="0"/>
  </r>
  <r>
    <d v="2019-12-25T00:00:00"/>
    <x v="4"/>
    <x v="1"/>
    <x v="3"/>
    <x v="4"/>
    <m/>
    <s v="Système electrique"/>
    <m/>
    <x v="0"/>
    <s v="changement des lampes"/>
    <m/>
    <m/>
    <m/>
    <x v="38"/>
    <m/>
    <m/>
    <x v="0"/>
    <x v="0"/>
  </r>
  <r>
    <d v="2019-12-25T00:00:00"/>
    <x v="33"/>
    <x v="2"/>
    <x v="18"/>
    <x v="2"/>
    <n v="22186"/>
    <s v="Entretien"/>
    <m/>
    <x v="0"/>
    <s v="entretien et vidange"/>
    <m/>
    <m/>
    <m/>
    <x v="38"/>
    <m/>
    <m/>
    <x v="0"/>
    <x v="0"/>
  </r>
  <r>
    <d v="2019-12-27T00:00:00"/>
    <x v="19"/>
    <x v="7"/>
    <x v="12"/>
    <x v="2"/>
    <n v="22188"/>
    <s v="Entretien"/>
    <m/>
    <x v="0"/>
    <s v="mise a niveau d'huile moteur 15W40"/>
    <m/>
    <m/>
    <m/>
    <x v="39"/>
    <m/>
    <m/>
    <x v="0"/>
    <x v="0"/>
  </r>
  <r>
    <d v="2019-12-30T00:00:00"/>
    <x v="21"/>
    <x v="2"/>
    <x v="13"/>
    <x v="2"/>
    <n v="22189"/>
    <s v="Entretien"/>
    <m/>
    <x v="0"/>
    <s v="Mise a niveau "/>
    <m/>
    <m/>
    <m/>
    <x v="40"/>
    <m/>
    <m/>
    <x v="0"/>
    <x v="0"/>
  </r>
  <r>
    <d v="2020-01-01T00:00:00"/>
    <x v="23"/>
    <x v="3"/>
    <x v="6"/>
    <x v="18"/>
    <m/>
    <s v="Moteur"/>
    <m/>
    <x v="0"/>
    <s v="changement  du pompe a eau_x000a_tarage des injecteur _x000a_changement des joint d'etanchiete_x000a_vidange d'huile moteur"/>
    <s v="141268_x000a_141277"/>
    <n v="2850"/>
    <n v="5180"/>
    <x v="41"/>
    <m/>
    <m/>
    <x v="0"/>
    <x v="0"/>
  </r>
  <r>
    <d v="2020-01-02T00:00:00"/>
    <x v="22"/>
    <x v="2"/>
    <x v="14"/>
    <x v="2"/>
    <n v="22190"/>
    <s v="Entretien"/>
    <m/>
    <x v="1"/>
    <s v="vidange d'huile moteur 15W40_x000a_lavage et graissage generale d'engin"/>
    <m/>
    <m/>
    <m/>
    <x v="42"/>
    <m/>
    <m/>
    <x v="0"/>
    <x v="0"/>
  </r>
  <r>
    <d v="2020-01-02T00:00:00"/>
    <x v="29"/>
    <x v="2"/>
    <x v="16"/>
    <x v="2"/>
    <n v="22191"/>
    <s v="Entretien"/>
    <m/>
    <x v="1"/>
    <s v="vidange d'huile moteur 15W40_x000a_changement du filltre a huile 2654403_x000a_ et filtre a gasoil 2651117_x000a_lavage et graissage generale d'engin"/>
    <m/>
    <m/>
    <m/>
    <x v="42"/>
    <m/>
    <m/>
    <x v="0"/>
    <x v="0"/>
  </r>
  <r>
    <d v="2020-01-04T00:00:00"/>
    <x v="12"/>
    <x v="3"/>
    <x v="3"/>
    <x v="12"/>
    <m/>
    <s v="Entretien"/>
    <m/>
    <x v="1"/>
    <s v="vidange systematique"/>
    <m/>
    <m/>
    <m/>
    <x v="43"/>
    <m/>
    <m/>
    <x v="0"/>
    <x v="0"/>
  </r>
  <r>
    <d v="2020-01-06T00:00:00"/>
    <x v="8"/>
    <x v="3"/>
    <x v="6"/>
    <x v="8"/>
    <m/>
    <s v="Entretien"/>
    <m/>
    <x v="1"/>
    <s v="mise a niveau d'huile moteur 15W40"/>
    <m/>
    <m/>
    <m/>
    <x v="23"/>
    <m/>
    <m/>
    <x v="0"/>
    <x v="0"/>
  </r>
  <r>
    <d v="2020-01-06T00:00:00"/>
    <x v="16"/>
    <x v="1"/>
    <x v="5"/>
    <x v="14"/>
    <m/>
    <s v="Système electrique"/>
    <m/>
    <x v="0"/>
    <s v="réparation d'eclairage"/>
    <m/>
    <m/>
    <m/>
    <x v="23"/>
    <m/>
    <m/>
    <x v="0"/>
    <x v="0"/>
  </r>
  <r>
    <d v="2020-01-07T00:00:00"/>
    <x v="21"/>
    <x v="2"/>
    <x v="13"/>
    <x v="2"/>
    <n v="22192"/>
    <s v="Entretien"/>
    <m/>
    <x v="1"/>
    <s v="vidange d'huile moteur 15W40_x000a_lavage et graissage generale d'engin"/>
    <n v="141274"/>
    <n v="120"/>
    <n v="120"/>
    <x v="44"/>
    <m/>
    <m/>
    <x v="0"/>
    <x v="0"/>
  </r>
  <r>
    <d v="2020-01-08T00:00:00"/>
    <x v="8"/>
    <x v="3"/>
    <x v="6"/>
    <x v="8"/>
    <m/>
    <s v="Système electrique"/>
    <m/>
    <x v="0"/>
    <s v="réparation d'alternateur de charge battrie _x000a_mise a niveau d'eau de battrie "/>
    <m/>
    <m/>
    <m/>
    <x v="45"/>
    <m/>
    <m/>
    <x v="0"/>
    <x v="0"/>
  </r>
  <r>
    <d v="2020-01-08T00:00:00"/>
    <x v="9"/>
    <x v="5"/>
    <x v="7"/>
    <x v="9"/>
    <m/>
    <s v="Entretien"/>
    <m/>
    <x v="1"/>
    <s v="vidange systematique"/>
    <m/>
    <m/>
    <m/>
    <x v="45"/>
    <m/>
    <m/>
    <x v="0"/>
    <x v="0"/>
  </r>
  <r>
    <d v="2020-01-08T00:00:00"/>
    <x v="17"/>
    <x v="5"/>
    <x v="11"/>
    <x v="15"/>
    <n v="22462"/>
    <s v="Freinage "/>
    <m/>
    <x v="0"/>
    <s v="changement du deux jeu egarniture de frein avant et arriere"/>
    <m/>
    <m/>
    <m/>
    <x v="45"/>
    <m/>
    <m/>
    <x v="0"/>
    <x v="0"/>
  </r>
  <r>
    <d v="2020-01-08T00:00:00"/>
    <x v="34"/>
    <x v="2"/>
    <x v="19"/>
    <x v="2"/>
    <n v="22194"/>
    <s v="Entretien"/>
    <m/>
    <x v="1"/>
    <s v="Vidange d'huile moteur 15W40_x000a_réparation des fuite d'huile hydraulique _x000a_lavage generale d'engin"/>
    <s v="141276_x000a_141327_x000a_141319"/>
    <n v="180"/>
    <n v="180"/>
    <x v="45"/>
    <m/>
    <m/>
    <x v="0"/>
    <x v="0"/>
  </r>
  <r>
    <d v="2020-01-09T00:00:00"/>
    <x v="22"/>
    <x v="2"/>
    <x v="14"/>
    <x v="2"/>
    <n v="22193"/>
    <s v="Forche de levage"/>
    <m/>
    <x v="0"/>
    <s v="réparation du fuite d'huile et changement du flexible hydraulique _x000a_de levage des fourches"/>
    <n v="141274"/>
    <n v="120"/>
    <n v="120"/>
    <x v="41"/>
    <m/>
    <m/>
    <x v="0"/>
    <x v="0"/>
  </r>
  <r>
    <d v="2020-01-10T00:00:00"/>
    <x v="7"/>
    <x v="1"/>
    <x v="5"/>
    <x v="7"/>
    <m/>
    <s v="Système electrique"/>
    <m/>
    <x v="0"/>
    <s v="réparation du probleme de démarrage _x000a_vidange d'huile moteur et changement du filtre a huile_x000a_"/>
    <m/>
    <m/>
    <m/>
    <x v="46"/>
    <m/>
    <m/>
    <x v="0"/>
    <x v="0"/>
  </r>
  <r>
    <d v="2020-01-10T00:00:00"/>
    <x v="15"/>
    <x v="2"/>
    <x v="10"/>
    <x v="2"/>
    <n v="22195"/>
    <s v="Entretien"/>
    <m/>
    <x v="1"/>
    <s v="répaération du probleme au niveau d&quot;essieu arriere et _x000a_changement des roullement a galet des roue_x000a_vidanged'huile moteur 15W40_x000a_changement du filtre a gasoil _x000a_"/>
    <n v="141282"/>
    <n v="60"/>
    <n v="60"/>
    <x v="46"/>
    <m/>
    <m/>
    <x v="0"/>
    <x v="0"/>
  </r>
  <r>
    <d v="2020-01-11T00:00:00"/>
    <x v="10"/>
    <x v="1"/>
    <x v="8"/>
    <x v="10"/>
    <m/>
    <s v="Pneu"/>
    <m/>
    <x v="0"/>
    <s v="réparation d crevaison pneu ref 11R22,5"/>
    <m/>
    <m/>
    <m/>
    <x v="47"/>
    <m/>
    <m/>
    <x v="0"/>
    <x v="0"/>
  </r>
  <r>
    <d v="2020-01-11T00:00:00"/>
    <x v="9"/>
    <x v="5"/>
    <x v="7"/>
    <x v="9"/>
    <m/>
    <s v="Système electrique"/>
    <m/>
    <x v="0"/>
    <s v="réparation d'eclairage"/>
    <m/>
    <m/>
    <m/>
    <x v="47"/>
    <m/>
    <m/>
    <x v="0"/>
    <x v="0"/>
  </r>
  <r>
    <d v="2020-01-13T00:00:00"/>
    <x v="13"/>
    <x v="1"/>
    <x v="5"/>
    <x v="13"/>
    <m/>
    <s v="Système electrique"/>
    <m/>
    <x v="0"/>
    <s v="réparation du déarreur et changement du bendix de démarrage _x000a_réparation du pompe de direction _x000a_vidange d'huile moteur"/>
    <s v="142330_x000a_141294_x000a_141302_x000a_141311_x000a_141291"/>
    <s v="2280_x000a_4 jours"/>
    <s v="3420_x000a_6 jours"/>
    <x v="48"/>
    <m/>
    <m/>
    <x v="0"/>
    <x v="0"/>
  </r>
  <r>
    <d v="2020-01-13T00:00:00"/>
    <x v="2"/>
    <x v="2"/>
    <x v="2"/>
    <x v="2"/>
    <n v="22196"/>
    <s v="Système electrique"/>
    <m/>
    <x v="0"/>
    <s v="réparation du probleme de démarrage et changement d'alternateur d e charge battrie _x000a_"/>
    <s v="141290_x000a_141295"/>
    <n v="360"/>
    <n v="360"/>
    <x v="49"/>
    <m/>
    <m/>
    <x v="0"/>
    <x v="0"/>
  </r>
  <r>
    <d v="2020-01-15T00:00:00"/>
    <x v="20"/>
    <x v="1"/>
    <x v="6"/>
    <x v="17"/>
    <n v="22481"/>
    <s v="Freinage "/>
    <m/>
    <x v="0"/>
    <s v="réparation du probleme de freinage (réparation en exterieure du sté )"/>
    <n v="141293"/>
    <s v="1710_x000a_3jours"/>
    <s v="1710_x000a_3jours"/>
    <x v="50"/>
    <m/>
    <m/>
    <x v="0"/>
    <x v="0"/>
  </r>
  <r>
    <d v="2020-01-16T00:00:00"/>
    <x v="4"/>
    <x v="1"/>
    <x v="3"/>
    <x v="4"/>
    <m/>
    <s v="Système electrique"/>
    <m/>
    <x v="0"/>
    <s v="réparation d'eclairage et changemet des lampes "/>
    <m/>
    <m/>
    <m/>
    <x v="51"/>
    <m/>
    <m/>
    <x v="0"/>
    <x v="0"/>
  </r>
  <r>
    <d v="2020-01-16T00:00:00"/>
    <x v="28"/>
    <x v="2"/>
    <x v="13"/>
    <x v="2"/>
    <n v="22197"/>
    <s v="Entretien"/>
    <m/>
    <x v="0"/>
    <s v="mise a niveau d'huile hydraulique_x000a_vidange d'huile moteur et changement du filtre a huile te gasoil"/>
    <n v="142306"/>
    <n v="30"/>
    <n v="30"/>
    <x v="51"/>
    <m/>
    <m/>
    <x v="0"/>
    <x v="0"/>
  </r>
  <r>
    <d v="2020-01-17T00:00:00"/>
    <x v="5"/>
    <x v="3"/>
    <x v="3"/>
    <x v="5"/>
    <n v="22476"/>
    <s v="Moteur"/>
    <s v="injection gasoil "/>
    <x v="0"/>
    <s v="démontage des injecteur pour tarage et réparation _x000a_réparation du joint de refrigerant moteur _x000a_réparation du radiateur et changement du radiateur d'eau _x000a_réparation du tachygraphe _x000a_vidange d'huile moteur et changement du filtre a huile et filtre a gasoil"/>
    <s v="142305_x000a_143110_x000a_142349_x000a_142343_x000a_142305_x000a_142367"/>
    <n v="5000"/>
    <n v="6840"/>
    <x v="52"/>
    <m/>
    <m/>
    <x v="0"/>
    <x v="0"/>
  </r>
  <r>
    <d v="2020-01-18T00:00:00"/>
    <x v="32"/>
    <x v="2"/>
    <x v="2"/>
    <x v="2"/>
    <n v="22199"/>
    <s v="Système electrique"/>
    <m/>
    <x v="0"/>
    <s v="changement des lampes"/>
    <n v="141280"/>
    <n v="60"/>
    <n v="60"/>
    <x v="53"/>
    <m/>
    <m/>
    <x v="0"/>
    <x v="0"/>
  </r>
  <r>
    <d v="2020-01-20T00:00:00"/>
    <x v="9"/>
    <x v="5"/>
    <x v="7"/>
    <x v="9"/>
    <n v="22470"/>
    <s v="Entretien"/>
    <m/>
    <x v="1"/>
    <s v="vidange systematique"/>
    <m/>
    <m/>
    <m/>
    <x v="54"/>
    <m/>
    <m/>
    <x v="0"/>
    <x v="0"/>
  </r>
  <r>
    <d v="2020-01-20T00:00:00"/>
    <x v="23"/>
    <x v="3"/>
    <x v="6"/>
    <x v="18"/>
    <n v="22474"/>
    <s v="Tachygraphe"/>
    <m/>
    <x v="0"/>
    <s v="réparation du probleme de tachygraphe"/>
    <m/>
    <m/>
    <m/>
    <x v="54"/>
    <m/>
    <m/>
    <x v="0"/>
    <x v="0"/>
  </r>
  <r>
    <d v="2020-01-20T00:00:00"/>
    <x v="29"/>
    <x v="2"/>
    <x v="16"/>
    <x v="2"/>
    <n v="22401"/>
    <s v="Système electrique"/>
    <m/>
    <x v="0"/>
    <s v="changement des lampes d'eclairage"/>
    <n v="142320"/>
    <n v="60"/>
    <n v="60"/>
    <x v="54"/>
    <m/>
    <m/>
    <x v="0"/>
    <x v="0"/>
  </r>
  <r>
    <d v="2020-01-20T00:00:00"/>
    <x v="35"/>
    <x v="2"/>
    <x v="13"/>
    <x v="2"/>
    <n v="22402"/>
    <s v="Entretien"/>
    <m/>
    <x v="1"/>
    <s v="mise a niveau dhuile hydraulique AW68"/>
    <s v="142322_x000a_142325"/>
    <n v="30"/>
    <n v="30"/>
    <x v="54"/>
    <m/>
    <m/>
    <x v="0"/>
    <x v="0"/>
  </r>
  <r>
    <d v="2020-01-21T00:00:00"/>
    <x v="1"/>
    <x v="1"/>
    <x v="1"/>
    <x v="1"/>
    <m/>
    <s v="pneu "/>
    <m/>
    <x v="0"/>
    <s v="changement du deux pneu ref 10R22,5_x000a_vidange systematieque et changement des filtres"/>
    <m/>
    <m/>
    <m/>
    <x v="48"/>
    <m/>
    <m/>
    <x v="0"/>
    <x v="0"/>
  </r>
  <r>
    <d v="2020-01-21T00:00:00"/>
    <x v="17"/>
    <x v="5"/>
    <x v="11"/>
    <x v="15"/>
    <n v="22472"/>
    <s v="Système electrique"/>
    <m/>
    <x v="0"/>
    <s v="réparation d'eclairage  "/>
    <m/>
    <m/>
    <m/>
    <x v="48"/>
    <m/>
    <m/>
    <x v="0"/>
    <x v="0"/>
  </r>
  <r>
    <d v="2020-01-21T00:00:00"/>
    <x v="16"/>
    <x v="1"/>
    <x v="5"/>
    <x v="14"/>
    <n v="22478"/>
    <s v="Moteur"/>
    <m/>
    <x v="0"/>
    <s v="changement du kit d'embrayage complet _x000a_réparation d'alternateur de charge battrie "/>
    <s v="142339_x000a_142342"/>
    <n v="1470"/>
    <n v="1470"/>
    <x v="55"/>
    <m/>
    <m/>
    <x v="0"/>
    <x v="0"/>
  </r>
  <r>
    <d v="2020-01-22T00:00:00"/>
    <x v="4"/>
    <x v="1"/>
    <x v="3"/>
    <x v="4"/>
    <n v="22473"/>
    <s v="Système electrique"/>
    <m/>
    <x v="0"/>
    <s v="réparation d'eclairage  "/>
    <m/>
    <m/>
    <m/>
    <x v="56"/>
    <m/>
    <m/>
    <x v="0"/>
    <x v="0"/>
  </r>
  <r>
    <d v="2020-01-23T00:00:00"/>
    <x v="22"/>
    <x v="2"/>
    <x v="14"/>
    <x v="2"/>
    <n v="22409"/>
    <s v="Moteur"/>
    <m/>
    <x v="0"/>
    <s v="en cour"/>
    <m/>
    <m/>
    <m/>
    <x v="57"/>
    <m/>
    <m/>
    <x v="0"/>
    <x v="0"/>
  </r>
  <r>
    <d v="2020-01-24T00:00:00"/>
    <x v="9"/>
    <x v="5"/>
    <x v="7"/>
    <x v="9"/>
    <n v="22477"/>
    <s v="Carosserie"/>
    <m/>
    <x v="0"/>
    <s v="réglage du jeu de frein _x000a_montage du boit de pharmacie _x000a_des auto coulant "/>
    <n v="142340"/>
    <n v="120"/>
    <n v="120"/>
    <x v="58"/>
    <m/>
    <m/>
    <x v="0"/>
    <x v="0"/>
  </r>
  <r>
    <d v="2020-01-25T00:00:00"/>
    <x v="2"/>
    <x v="2"/>
    <x v="2"/>
    <x v="2"/>
    <n v="22403"/>
    <s v="Système electrique"/>
    <m/>
    <x v="0"/>
    <s v="réparation d'alternateur de charge battrie _x000a_changement du jeu de charbon et réparation du retor "/>
    <s v="143109_x000a_143102"/>
    <n v="570"/>
    <n v="570"/>
    <x v="55"/>
    <m/>
    <m/>
    <x v="0"/>
    <x v="0"/>
  </r>
  <r>
    <d v="2020-01-27T00:00:00"/>
    <x v="20"/>
    <x v="1"/>
    <x v="20"/>
    <x v="17"/>
    <n v="22480"/>
    <s v="Système electrique"/>
    <m/>
    <x v="0"/>
    <s v="réparation d'eclairage et changemùment des lampes "/>
    <n v="143106"/>
    <n v="120"/>
    <n v="120"/>
    <x v="59"/>
    <m/>
    <m/>
    <x v="0"/>
    <x v="0"/>
  </r>
  <r>
    <d v="2020-01-27T00:00:00"/>
    <x v="14"/>
    <x v="6"/>
    <x v="9"/>
    <x v="2"/>
    <n v="22404"/>
    <s v="cravaison pneu "/>
    <m/>
    <x v="0"/>
    <s v="réparation du crevaison pneu "/>
    <n v="143104"/>
    <n v="60"/>
    <n v="60"/>
    <x v="59"/>
    <m/>
    <m/>
    <x v="0"/>
    <x v="0"/>
  </r>
  <r>
    <d v="2020-01-27T00:00:00"/>
    <x v="17"/>
    <x v="5"/>
    <x v="11"/>
    <x v="15"/>
    <n v="22405"/>
    <s v="Freinage "/>
    <m/>
    <x v="0"/>
    <s v="changement du deux master de frein _x000a_coté avant gauche_x000a_reinssage du circuit d'huile de frein"/>
    <s v="143105_x000a_143107"/>
    <n v="360"/>
    <n v="360"/>
    <x v="59"/>
    <m/>
    <m/>
    <x v="0"/>
    <x v="0"/>
  </r>
  <r>
    <d v="2020-01-28T00:00:00"/>
    <x v="21"/>
    <x v="2"/>
    <x v="13"/>
    <x v="2"/>
    <n v="22406"/>
    <s v="fuite d'huile hydraulique "/>
    <m/>
    <x v="0"/>
    <s v="changement du filtre hydraulique WP724_x000a_Mise a niveau d'huile hydraulique AW68"/>
    <s v="143111_x000a_143112"/>
    <n v="180"/>
    <n v="180"/>
    <x v="60"/>
    <m/>
    <m/>
    <x v="0"/>
    <x v="0"/>
  </r>
  <r>
    <d v="2020-01-29T00:00:00"/>
    <x v="20"/>
    <x v="1"/>
    <x v="6"/>
    <x v="17"/>
    <n v="22482"/>
    <s v="pneu "/>
    <m/>
    <x v="0"/>
    <s v="changement du deux pneu ref 11R22,5"/>
    <n v="143116"/>
    <n v="240"/>
    <n v="240"/>
    <x v="61"/>
    <m/>
    <m/>
    <x v="0"/>
    <x v="0"/>
  </r>
  <r>
    <d v="2020-01-29T00:00:00"/>
    <x v="5"/>
    <x v="3"/>
    <x v="3"/>
    <x v="5"/>
    <n v="22484"/>
    <s v="Système electrique"/>
    <m/>
    <x v="0"/>
    <s v="changement du courooie de charge battrie _x000a_et réparation du fuite de gasoil"/>
    <n v="143119"/>
    <n v="180"/>
    <n v="180"/>
    <x v="61"/>
    <m/>
    <m/>
    <x v="0"/>
    <x v="0"/>
  </r>
  <r>
    <d v="2020-01-29T00:00:00"/>
    <x v="14"/>
    <x v="6"/>
    <x v="9"/>
    <x v="2"/>
    <n v="22410"/>
    <s v="Moteur"/>
    <m/>
    <x v="0"/>
    <s v="reéparation du fuite du gaz d'echappement et changement du pompe a eau_x000a_mise a niveau d'huile hydraulique"/>
    <s v="143353_x000a_143381_x000a_143384_x000a_143376"/>
    <n v="2850"/>
    <n v="9120"/>
    <x v="62"/>
    <m/>
    <m/>
    <x v="0"/>
    <x v="0"/>
  </r>
  <r>
    <d v="2020-01-31T00:00:00"/>
    <x v="7"/>
    <x v="1"/>
    <x v="5"/>
    <x v="7"/>
    <n v="22485"/>
    <s v="Entretien"/>
    <m/>
    <x v="1"/>
    <s v="vidange d'huile moteur _x000a_lavage et graissaged'engin "/>
    <n v="143124"/>
    <n v="60"/>
    <n v="60"/>
    <x v="63"/>
    <m/>
    <m/>
    <x v="0"/>
    <x v="0"/>
  </r>
  <r>
    <d v="2020-02-01T00:00:00"/>
    <x v="23"/>
    <x v="3"/>
    <x v="6"/>
    <x v="18"/>
    <n v="22486"/>
    <s v="Système electrique"/>
    <m/>
    <x v="0"/>
    <s v="réparation d'eclairage et changement des fusibles a lame "/>
    <m/>
    <n v="120"/>
    <n v="120"/>
    <x v="64"/>
    <m/>
    <m/>
    <x v="0"/>
    <x v="0"/>
  </r>
  <r>
    <d v="2020-02-01T00:00:00"/>
    <x v="16"/>
    <x v="1"/>
    <x v="5"/>
    <x v="14"/>
    <n v="22487"/>
    <s v="Entretien"/>
    <m/>
    <x v="1"/>
    <s v="vidange d'huile moteur 15W40_x000a_lavage et graissage generale d'engin_x000a_changement du flexible hydraulique percé"/>
    <s v="143131_x000a_143134"/>
    <n v="120"/>
    <n v="120"/>
    <x v="65"/>
    <m/>
    <m/>
    <x v="0"/>
    <x v="0"/>
  </r>
  <r>
    <d v="2020-02-01T00:00:00"/>
    <x v="29"/>
    <x v="2"/>
    <x v="16"/>
    <x v="2"/>
    <n v="22413"/>
    <s v="Entretien"/>
    <m/>
    <x v="1"/>
    <s v="vidange d'huile moteur 15W40_x000a_changement du filtre a huile et filtre a gasoil"/>
    <n v="144509"/>
    <n v="120"/>
    <n v="120"/>
    <x v="66"/>
    <m/>
    <m/>
    <x v="0"/>
    <x v="0"/>
  </r>
  <r>
    <d v="2020-02-02T00:00:00"/>
    <x v="8"/>
    <x v="3"/>
    <x v="6"/>
    <x v="8"/>
    <n v="22481"/>
    <s v="Entretien"/>
    <m/>
    <x v="1"/>
    <s v="vidange generale d'engin et changement des filtre"/>
    <n v="143189"/>
    <n v="120"/>
    <n v="120"/>
    <x v="67"/>
    <m/>
    <m/>
    <x v="0"/>
    <x v="0"/>
  </r>
  <r>
    <d v="2020-02-03T00:00:00"/>
    <x v="9"/>
    <x v="5"/>
    <x v="7"/>
    <x v="9"/>
    <n v="22489"/>
    <s v="Carosserie"/>
    <m/>
    <x v="0"/>
    <s v="changement du pare brise endommagee pare plaque de plexyglace"/>
    <n v="143136"/>
    <n v="570"/>
    <n v="570"/>
    <x v="65"/>
    <m/>
    <m/>
    <x v="0"/>
    <x v="0"/>
  </r>
  <r>
    <d v="2020-02-04T00:00:00"/>
    <x v="0"/>
    <x v="0"/>
    <x v="0"/>
    <x v="0"/>
    <n v="22483"/>
    <s v="Moteur"/>
    <m/>
    <x v="0"/>
    <s v="changement du courroie de distribution moteur avec tondeur _x000a_changement du courrie d'accessoires aevc tondeur _x000a_vidange d'hule moteur 15W40_x000a_changement du filtre a huile et filtre a gasoil et filtre a air _x000a_paralellisme d'essieu avant _x000a_"/>
    <s v="143117_x000a_143143_x000a_143144"/>
    <n v="1140"/>
    <n v="1140"/>
    <x v="68"/>
    <m/>
    <m/>
    <x v="0"/>
    <x v="0"/>
  </r>
  <r>
    <d v="2020-02-05T00:00:00"/>
    <x v="10"/>
    <x v="1"/>
    <x v="8"/>
    <x v="10"/>
    <n v="22490"/>
    <s v="Système electrique"/>
    <m/>
    <x v="0"/>
    <s v="réparation d'eclairage "/>
    <n v="143140"/>
    <n v="120"/>
    <n v="120"/>
    <x v="69"/>
    <m/>
    <m/>
    <x v="0"/>
    <x v="0"/>
  </r>
  <r>
    <d v="2020-02-07T00:00:00"/>
    <x v="19"/>
    <x v="7"/>
    <x v="12"/>
    <x v="2"/>
    <n v="22407"/>
    <s v="Carosserie"/>
    <m/>
    <x v="0"/>
    <s v="réparation du fixation d'aile de roue "/>
    <n v="143147"/>
    <n v="120"/>
    <n v="120"/>
    <x v="70"/>
    <m/>
    <m/>
    <x v="0"/>
    <x v="0"/>
  </r>
  <r>
    <d v="2020-02-08T00:00:00"/>
    <x v="8"/>
    <x v="3"/>
    <x v="6"/>
    <x v="8"/>
    <n v="22491"/>
    <s v="Système electrique"/>
    <m/>
    <x v="0"/>
    <s v="changement du deu battrie de démarrage et des cosses battrie _x000a_soudage du scaisse d'outillge"/>
    <s v="143356_x000a_143361"/>
    <n v="240"/>
    <n v="240"/>
    <x v="71"/>
    <m/>
    <m/>
    <x v="0"/>
    <x v="0"/>
  </r>
  <r>
    <d v="2020-02-08T00:00:00"/>
    <x v="20"/>
    <x v="1"/>
    <x v="6"/>
    <x v="17"/>
    <n v="22493"/>
    <s v="Tachygraphe"/>
    <m/>
    <x v="0"/>
    <s v="renouvlement du certificat de tachygraphe"/>
    <n v="143352"/>
    <n v="120"/>
    <n v="120"/>
    <x v="71"/>
    <m/>
    <m/>
    <x v="0"/>
    <x v="0"/>
  </r>
  <r>
    <d v="2020-02-08T00:00:00"/>
    <x v="30"/>
    <x v="2"/>
    <x v="21"/>
    <x v="24"/>
    <n v="22411"/>
    <s v="Moteur"/>
    <m/>
    <x v="0"/>
    <s v="réparation des fuites et changement du kit réparation du distributeur hydraulique et des joints de pompe hydraulique _x000a_vidange d'huile moteur 15W40"/>
    <s v="143370_x000a_143379_x000a_143389_x000a_143387"/>
    <n v="3990"/>
    <n v="5700"/>
    <x v="72"/>
    <m/>
    <m/>
    <x v="0"/>
    <x v="0"/>
  </r>
  <r>
    <d v="2020-02-09T00:00:00"/>
    <x v="16"/>
    <x v="1"/>
    <x v="5"/>
    <x v="14"/>
    <n v="22492"/>
    <s v="Système electrique"/>
    <m/>
    <x v="0"/>
    <s v="changement du deux battrie de démarrage L5 12V"/>
    <n v="143355"/>
    <n v="120"/>
    <n v="120"/>
    <x v="73"/>
    <m/>
    <m/>
    <x v="0"/>
    <x v="0"/>
  </r>
  <r>
    <d v="2020-02-12T00:00:00"/>
    <x v="13"/>
    <x v="1"/>
    <x v="5"/>
    <x v="13"/>
    <n v="22494"/>
    <s v="Système electrique"/>
    <m/>
    <x v="0"/>
    <s v="changement du comodo de feu de signale "/>
    <n v="143369"/>
    <n v="180"/>
    <n v="180"/>
    <x v="74"/>
    <m/>
    <m/>
    <x v="0"/>
    <x v="0"/>
  </r>
  <r>
    <d v="2020-02-12T00:00:00"/>
    <x v="2"/>
    <x v="2"/>
    <x v="2"/>
    <x v="2"/>
    <n v="22408"/>
    <s v="Entretien"/>
    <m/>
    <x v="1"/>
    <s v="vidange d'huile moteur et changement du filtre a huile et filtre a gasoil"/>
    <n v="143149"/>
    <n v="120"/>
    <n v="120"/>
    <x v="74"/>
    <m/>
    <m/>
    <x v="0"/>
    <x v="0"/>
  </r>
  <r>
    <d v="2020-02-14T00:00:00"/>
    <x v="13"/>
    <x v="1"/>
    <x v="22"/>
    <x v="13"/>
    <n v="22495"/>
    <s v="signalisation "/>
    <m/>
    <x v="0"/>
    <s v="changement du plaque d'ennpanne endommage_x000a_changement du deux pneu ref 10R22,5"/>
    <s v="143374_x000a_143377"/>
    <n v="30"/>
    <n v="30"/>
    <x v="75"/>
    <m/>
    <m/>
    <x v="0"/>
    <x v="0"/>
  </r>
  <r>
    <d v="2020-02-14T00:00:00"/>
    <x v="15"/>
    <x v="2"/>
    <x v="10"/>
    <x v="2"/>
    <n v="22412"/>
    <s v="Entretien"/>
    <m/>
    <x v="1"/>
    <s v="vidange d'huile ooteur 15W40_x000a_lavage et graisssage generale d'engin _x000a_reparation du fixation de "/>
    <n v="143378"/>
    <n v="60"/>
    <n v="60"/>
    <x v="75"/>
    <m/>
    <m/>
    <x v="0"/>
    <x v="0"/>
  </r>
  <r>
    <d v="2020-02-15T00:00:00"/>
    <x v="12"/>
    <x v="3"/>
    <x v="3"/>
    <x v="12"/>
    <n v="22496"/>
    <s v="fuite d'air"/>
    <m/>
    <x v="0"/>
    <s v="réparation du fuite d'air comprimée"/>
    <s v="143383_x000a_143382"/>
    <n v="120"/>
    <n v="120"/>
    <x v="76"/>
    <m/>
    <m/>
    <x v="0"/>
    <x v="0"/>
  </r>
  <r>
    <d v="2020-02-17T00:00:00"/>
    <x v="5"/>
    <x v="3"/>
    <x v="3"/>
    <x v="5"/>
    <n v="22951"/>
    <s v="Moteur"/>
    <m/>
    <x v="2"/>
    <s v="changement d"/>
    <m/>
    <m/>
    <m/>
    <x v="57"/>
    <m/>
    <m/>
    <x v="0"/>
    <x v="0"/>
  </r>
  <r>
    <d v="2020-02-18T00:00:00"/>
    <x v="8"/>
    <x v="3"/>
    <x v="6"/>
    <x v="8"/>
    <n v="22497"/>
    <s v="Entretien"/>
    <m/>
    <x v="1"/>
    <s v="vidange d'huile moteur 15W40_x000a_lavage et graissage generale d'engin_x000a_changement du filtre a huile _x000a_et filtre a gasoil"/>
    <n v="143390"/>
    <n v="180"/>
    <n v="180"/>
    <x v="77"/>
    <m/>
    <m/>
    <x v="0"/>
    <x v="0"/>
  </r>
  <r>
    <d v="2020-02-19T00:00:00"/>
    <x v="1"/>
    <x v="1"/>
    <x v="1"/>
    <x v="1"/>
    <n v="23503"/>
    <s v="Tachygraphe"/>
    <s v="renouvlement "/>
    <x v="0"/>
    <s v="renouvlement du certificat de tachygraphe"/>
    <n v="154189"/>
    <n v="60"/>
    <n v="60"/>
    <x v="78"/>
    <m/>
    <m/>
    <x v="0"/>
    <x v="0"/>
  </r>
  <r>
    <d v="2020-02-22T00:00:00"/>
    <x v="28"/>
    <x v="2"/>
    <x v="13"/>
    <x v="2"/>
    <n v="22414"/>
    <s v="Moteur"/>
    <m/>
    <x v="0"/>
    <s v="changement du kit réparation d'axe pivot et axe fusée coté gauche et droit _x000a_changemnt du kit réparation du verin de levage  et inclinaison et verin de direction _x000a_kit de distributeur  d'accelerateur _x000a_des goujon de roue arriere _x000a_peinture generale d'engin _x000a_vidange d'huile moteur et changement des filtres  a huile moteur et filtre a gasoil _x000a_"/>
    <s v="144508_x000a_139745_x000a_145209_x000a_145206_x000a_145537_x000a_145201_x000a_144532_x000a_144533_x000a_144526_x000a_144518_x000a_144212_x000a_144225_x000a_144214_x000a_145222_x000a_147713147714_x000a_147715"/>
    <m/>
    <m/>
    <x v="57"/>
    <m/>
    <m/>
    <x v="0"/>
    <x v="0"/>
  </r>
  <r>
    <d v="2020-02-22T00:00:00"/>
    <x v="13"/>
    <x v="1"/>
    <x v="5"/>
    <x v="13"/>
    <n v="22961"/>
    <s v="Freinage "/>
    <s v="garniture de frein"/>
    <x v="0"/>
    <s v="réparation du freinageet changement de deux jeu de garniture de frein _x000a_des roullement de moyeu de roue _x000a_réctification des tambour _x000a_vidange d'huile moteur et changement du filtre a huile"/>
    <m/>
    <n v="2850"/>
    <n v="4560"/>
    <x v="79"/>
    <m/>
    <m/>
    <x v="0"/>
    <x v="0"/>
  </r>
  <r>
    <d v="2020-02-24T00:00:00"/>
    <x v="8"/>
    <x v="3"/>
    <x v="6"/>
    <x v="8"/>
    <n v="22499"/>
    <s v="Système electrique"/>
    <m/>
    <x v="0"/>
    <s v="réparation d'eclairage "/>
    <n v="143503"/>
    <n v="60"/>
    <n v="60"/>
    <x v="80"/>
    <m/>
    <m/>
    <x v="0"/>
    <x v="0"/>
  </r>
  <r>
    <d v="2020-02-25T00:00:00"/>
    <x v="12"/>
    <x v="3"/>
    <x v="3"/>
    <x v="12"/>
    <n v="22500"/>
    <s v="Tachygraphe"/>
    <m/>
    <x v="0"/>
    <s v="renouvlement du certificat de tachygraphe"/>
    <n v="143505"/>
    <n v="60"/>
    <n v="60"/>
    <x v="66"/>
    <m/>
    <m/>
    <x v="0"/>
    <x v="0"/>
  </r>
  <r>
    <d v="2020-02-26T00:00:00"/>
    <x v="20"/>
    <x v="1"/>
    <x v="6"/>
    <x v="17"/>
    <n v="22954"/>
    <s v="electrique "/>
    <s v="démarrage"/>
    <x v="0"/>
    <s v="réparation du probleme de démarage et changement des fusibles "/>
    <n v="144510"/>
    <n v="120"/>
    <n v="120"/>
    <x v="81"/>
    <m/>
    <m/>
    <x v="0"/>
    <x v="0"/>
  </r>
  <r>
    <d v="2020-02-27T00:00:00"/>
    <x v="17"/>
    <x v="5"/>
    <x v="11"/>
    <x v="15"/>
    <n v="22955"/>
    <s v="carosserie "/>
    <s v="peinture "/>
    <x v="0"/>
    <s v="peinture des caches de roues"/>
    <n v="144512"/>
    <n v="180"/>
    <n v="180"/>
    <x v="82"/>
    <m/>
    <m/>
    <x v="0"/>
    <x v="0"/>
  </r>
  <r>
    <d v="2020-02-27T00:00:00"/>
    <x v="12"/>
    <x v="3"/>
    <x v="3"/>
    <x v="12"/>
    <n v="22956"/>
    <s v="electrique "/>
    <s v="eclairage"/>
    <x v="0"/>
    <s v="réparation d'eclairage "/>
    <n v="144513"/>
    <n v="120"/>
    <n v="120"/>
    <x v="82"/>
    <m/>
    <m/>
    <x v="0"/>
    <x v="0"/>
  </r>
  <r>
    <d v="2020-03-03T00:00:00"/>
    <x v="10"/>
    <x v="1"/>
    <x v="8"/>
    <x v="10"/>
    <n v="22958"/>
    <s v="electrique "/>
    <s v="eclairage"/>
    <x v="2"/>
    <s v="réparation d'eclairage "/>
    <n v="144520"/>
    <n v="120"/>
    <n v="120"/>
    <x v="83"/>
    <m/>
    <m/>
    <x v="0"/>
    <x v="0"/>
  </r>
  <r>
    <d v="2020-03-04T00:00:00"/>
    <x v="18"/>
    <x v="1"/>
    <x v="5"/>
    <x v="16"/>
    <n v="22959"/>
    <s v="Entretien"/>
    <s v="mise a niveau"/>
    <x v="1"/>
    <s v="mise  niveau d'huile hydraulique "/>
    <n v="144524"/>
    <n v="30"/>
    <n v="30"/>
    <x v="84"/>
    <m/>
    <m/>
    <x v="0"/>
    <x v="0"/>
  </r>
  <r>
    <d v="2020-03-06T00:00:00"/>
    <x v="9"/>
    <x v="5"/>
    <x v="7"/>
    <x v="9"/>
    <n v="22960"/>
    <s v="Entretien"/>
    <s v="vidange"/>
    <x v="1"/>
    <s v="vidange d'huile moteur et changement des filtres "/>
    <n v="144528"/>
    <n v="180"/>
    <n v="180"/>
    <x v="85"/>
    <m/>
    <m/>
    <x v="0"/>
    <x v="0"/>
  </r>
  <r>
    <d v="2020-03-06T00:00:00"/>
    <x v="17"/>
    <x v="5"/>
    <x v="11"/>
    <x v="15"/>
    <n v="22963"/>
    <s v="Entretien"/>
    <s v="vidange"/>
    <x v="1"/>
    <s v="vidange d'hile moteur a sté global engin"/>
    <n v="144529"/>
    <n v="240"/>
    <n v="240"/>
    <x v="85"/>
    <m/>
    <m/>
    <x v="0"/>
    <x v="0"/>
  </r>
  <r>
    <d v="2020-03-06T00:00:00"/>
    <x v="16"/>
    <x v="1"/>
    <x v="5"/>
    <x v="14"/>
    <n v="22964"/>
    <s v="electrique "/>
    <s v="eclairage"/>
    <x v="0"/>
    <s v="réparation d'eclairage avant"/>
    <n v="144535"/>
    <n v="120"/>
    <n v="120"/>
    <x v="85"/>
    <m/>
    <m/>
    <x v="0"/>
    <x v="0"/>
  </r>
  <r>
    <d v="2020-03-06T00:00:00"/>
    <x v="29"/>
    <x v="2"/>
    <x v="16"/>
    <x v="2"/>
    <n v="22415"/>
    <s v="levage des fourches"/>
    <m/>
    <x v="0"/>
    <s v="réparation du levier de levge de fourches et hangement du croisillon de levage et des rotules"/>
    <s v="144534_x000a_145211"/>
    <n v="180"/>
    <n v="180"/>
    <x v="85"/>
    <m/>
    <m/>
    <x v="0"/>
    <x v="0"/>
  </r>
  <r>
    <d v="2020-03-09T00:00:00"/>
    <x v="7"/>
    <x v="1"/>
    <x v="5"/>
    <x v="7"/>
    <n v="22965"/>
    <s v="fuite d'huile hydraulique "/>
    <s v="flexible percé"/>
    <x v="0"/>
    <s v="réparation du fuite d'huile hydraulique et ducrevaison pneu"/>
    <n v="144541"/>
    <n v="360"/>
    <n v="360"/>
    <x v="79"/>
    <m/>
    <m/>
    <x v="0"/>
    <x v="0"/>
  </r>
  <r>
    <d v="2020-03-09T00:00:00"/>
    <x v="3"/>
    <x v="1"/>
    <x v="3"/>
    <x v="3"/>
    <n v="22966"/>
    <s v="Entretien"/>
    <s v="vidange"/>
    <x v="1"/>
    <s v="entretien et vidange"/>
    <n v="144542"/>
    <n v="570"/>
    <n v="570"/>
    <x v="79"/>
    <m/>
    <m/>
    <x v="0"/>
    <x v="0"/>
  </r>
  <r>
    <d v="2020-03-09T00:00:00"/>
    <x v="2"/>
    <x v="2"/>
    <x v="2"/>
    <x v="2"/>
    <n v="22416"/>
    <s v="démarrage "/>
    <m/>
    <x v="0"/>
    <s v="réparation du probleme de démarage et du lefage des fourches "/>
    <n v="144538"/>
    <n v="300"/>
    <n v="300"/>
    <x v="79"/>
    <m/>
    <m/>
    <x v="0"/>
    <x v="0"/>
  </r>
  <r>
    <d v="2020-03-10T00:00:00"/>
    <x v="4"/>
    <x v="1"/>
    <x v="3"/>
    <x v="4"/>
    <n v="22968"/>
    <s v="Entretien"/>
    <s v="vidange"/>
    <x v="1"/>
    <s v="entretien et vidange"/>
    <n v="145202"/>
    <n v="570"/>
    <n v="570"/>
    <x v="86"/>
    <m/>
    <m/>
    <x v="0"/>
    <x v="0"/>
  </r>
  <r>
    <d v="2020-03-13T00:00:00"/>
    <x v="29"/>
    <x v="2"/>
    <x v="16"/>
    <x v="2"/>
    <n v="22417"/>
    <s v="Entretien"/>
    <m/>
    <x v="0"/>
    <s v="vidang d'huile moteur et changement du  filtre a gasoil_x000a_lavage et graissage generale d'engin "/>
    <n v="145216"/>
    <n v="120"/>
    <n v="120"/>
    <x v="87"/>
    <m/>
    <m/>
    <x v="0"/>
    <x v="0"/>
  </r>
  <r>
    <d v="2020-03-13T00:00:00"/>
    <x v="9"/>
    <x v="5"/>
    <x v="7"/>
    <x v="9"/>
    <n v="22426"/>
    <s v="electrique "/>
    <m/>
    <x v="0"/>
    <s v="réparation d'eclairage et changement des lampes"/>
    <n v="145213"/>
    <n v="60"/>
    <n v="60"/>
    <x v="87"/>
    <m/>
    <m/>
    <x v="0"/>
    <x v="0"/>
  </r>
  <r>
    <d v="2020-03-15T00:00:00"/>
    <x v="7"/>
    <x v="1"/>
    <x v="23"/>
    <x v="7"/>
    <n v="22418"/>
    <s v="Entretien"/>
    <m/>
    <x v="1"/>
    <s v="vidang d'huile moteur et changement du  filtre a gasoil_x000a_filtre a huile moteur _x000a_réparation d'eclairage _x000a_lavage et graissage generale d'engin "/>
    <s v="145220_x000a_145224_x000a_145223"/>
    <n v="180"/>
    <n v="180"/>
    <x v="88"/>
    <m/>
    <m/>
    <x v="0"/>
    <x v="0"/>
  </r>
  <r>
    <d v="2020-03-16T00:00:00"/>
    <x v="23"/>
    <x v="3"/>
    <x v="6"/>
    <x v="18"/>
    <n v="22425"/>
    <s v="fuite d'air "/>
    <m/>
    <x v="0"/>
    <s v="réparation du fuite d'air _x000a_soudage des  fissures au niveau du chassis de plateau_x000a_réparation d'eclairage "/>
    <n v="145351"/>
    <n v="2280"/>
    <n v="2280"/>
    <x v="89"/>
    <m/>
    <m/>
    <x v="0"/>
    <x v="0"/>
  </r>
  <r>
    <d v="2020-03-18T00:00:00"/>
    <x v="19"/>
    <x v="7"/>
    <x v="12"/>
    <x v="2"/>
    <n v="22419"/>
    <s v="Entretien"/>
    <m/>
    <x v="1"/>
    <s v="vidang d'huile moteur et changement du  filtre a gasoil_x000a_lavage et graissage generale d'engin _x000a_mise  a niveau d'huile hydraulique AW68"/>
    <s v="145226_x000a_145229_x000a_145228"/>
    <n v="180"/>
    <n v="180"/>
    <x v="90"/>
    <m/>
    <m/>
    <x v="0"/>
    <x v="0"/>
  </r>
  <r>
    <d v="2020-03-18T00:00:00"/>
    <x v="16"/>
    <x v="1"/>
    <x v="5"/>
    <x v="14"/>
    <n v="22420"/>
    <s v="Entretien"/>
    <m/>
    <x v="1"/>
    <s v="vidange d'huile moteur 15W40_x000a_lavage et graissage generale d'engin "/>
    <n v="145227"/>
    <n v="120"/>
    <n v="120"/>
    <x v="90"/>
    <m/>
    <m/>
    <x v="0"/>
    <x v="0"/>
  </r>
  <r>
    <d v="2020-03-19T00:00:00"/>
    <x v="34"/>
    <x v="2"/>
    <x v="19"/>
    <x v="2"/>
    <n v="22421"/>
    <s v="fuite d'huile hydraulique "/>
    <m/>
    <x v="0"/>
    <s v="réparation du fuite d'huile hydraulique et soudage du tube en acier"/>
    <n v="145230"/>
    <n v="240"/>
    <n v="240"/>
    <x v="91"/>
    <m/>
    <m/>
    <x v="0"/>
    <x v="0"/>
  </r>
  <r>
    <d v="2020-03-19T00:00:00"/>
    <x v="21"/>
    <x v="2"/>
    <x v="13"/>
    <x v="2"/>
    <n v="22422"/>
    <s v="Entretien"/>
    <m/>
    <x v="0"/>
    <s v="vidang d'huile moteur et changement du  filtre a gasoil_x000a_filtre a huile moteur _x000a_lavage et graissage generale d'engin "/>
    <n v="145231"/>
    <n v="180"/>
    <n v="180"/>
    <x v="91"/>
    <m/>
    <m/>
    <x v="0"/>
    <x v="0"/>
  </r>
  <r>
    <d v="2020-03-21T00:00:00"/>
    <x v="19"/>
    <x v="7"/>
    <x v="12"/>
    <x v="2"/>
    <n v="22423"/>
    <s v="Entretien"/>
    <m/>
    <x v="1"/>
    <s v="mise a niveau d'huile hydraulique "/>
    <n v="145232"/>
    <n v="30"/>
    <n v="30"/>
    <x v="92"/>
    <m/>
    <m/>
    <x v="0"/>
    <x v="0"/>
  </r>
  <r>
    <d v="2020-03-23T00:00:00"/>
    <x v="26"/>
    <x v="2"/>
    <x v="15"/>
    <x v="2"/>
    <n v="22424"/>
    <s v="Pneu"/>
    <m/>
    <x v="0"/>
    <s v="changement du deux pneu ref 9,5R17,5"/>
    <n v="145233"/>
    <n v="180"/>
    <n v="180"/>
    <x v="93"/>
    <m/>
    <m/>
    <x v="0"/>
    <x v="0"/>
  </r>
  <r>
    <d v="2020-03-24T00:00:00"/>
    <x v="35"/>
    <x v="2"/>
    <x v="13"/>
    <x v="2"/>
    <n v="22971"/>
    <s v="Entretien"/>
    <m/>
    <x v="1"/>
    <s v="vidange d'huile moteur et changement du filtre a asoil "/>
    <n v="145352"/>
    <n v="60"/>
    <n v="60"/>
    <x v="94"/>
    <m/>
    <m/>
    <x v="0"/>
    <x v="0"/>
  </r>
  <r>
    <d v="2020-03-24T00:00:00"/>
    <x v="2"/>
    <x v="2"/>
    <x v="2"/>
    <x v="2"/>
    <n v="22972"/>
    <s v="Entretien"/>
    <m/>
    <x v="1"/>
    <s v="vidange d'huile moteur 15W40"/>
    <n v="145353"/>
    <n v="60"/>
    <n v="60"/>
    <x v="94"/>
    <m/>
    <m/>
    <x v="0"/>
    <x v="0"/>
  </r>
  <r>
    <d v="2020-03-24T00:00:00"/>
    <x v="1"/>
    <x v="1"/>
    <x v="1"/>
    <x v="1"/>
    <n v="22973"/>
    <s v="Entretien"/>
    <m/>
    <x v="1"/>
    <s v="vidange d'huilme moteur at changement du filtre a huile _x000a_lavage et graissage egenrale d'engin _x000a_reparation du prbleme d'accelerateur"/>
    <n v="145354"/>
    <n v="180"/>
    <n v="180"/>
    <x v="94"/>
    <m/>
    <m/>
    <x v="0"/>
    <x v="0"/>
  </r>
  <r>
    <d v="2020-04-10T00:00:00"/>
    <x v="12"/>
    <x v="3"/>
    <x v="3"/>
    <x v="12"/>
    <n v="22974"/>
    <s v="electrique "/>
    <m/>
    <x v="0"/>
    <s v="réparation d'eclairage et changement des lampes "/>
    <n v="147701"/>
    <n v="180"/>
    <n v="180"/>
    <x v="95"/>
    <m/>
    <m/>
    <x v="0"/>
    <x v="0"/>
  </r>
  <r>
    <d v="2020-04-11T00:00:00"/>
    <x v="8"/>
    <x v="3"/>
    <x v="6"/>
    <x v="8"/>
    <n v="22975"/>
    <s v="pneu "/>
    <m/>
    <x v="0"/>
    <s v="changement du pneu secour et reparation du crevaison pneu "/>
    <n v="147702"/>
    <n v="240"/>
    <n v="240"/>
    <x v="95"/>
    <m/>
    <m/>
    <x v="0"/>
    <x v="0"/>
  </r>
  <r>
    <d v="2020-04-13T00:00:00"/>
    <x v="3"/>
    <x v="1"/>
    <x v="3"/>
    <x v="3"/>
    <n v="22976"/>
    <s v="electrique "/>
    <m/>
    <x v="0"/>
    <s v="reparation d'eclairage "/>
    <m/>
    <m/>
    <m/>
    <x v="57"/>
    <m/>
    <m/>
    <x v="0"/>
    <x v="0"/>
  </r>
  <r>
    <d v="2020-04-14T00:00:00"/>
    <x v="20"/>
    <x v="1"/>
    <x v="6"/>
    <x v="17"/>
    <n v="22977"/>
    <s v="accelerateur "/>
    <m/>
    <x v="0"/>
    <s v="réparation du cable d'accemlérateur "/>
    <n v="147705"/>
    <n v="240"/>
    <n v="240"/>
    <x v="96"/>
    <m/>
    <m/>
    <x v="0"/>
    <x v="0"/>
  </r>
  <r>
    <d v="2020-04-14T00:00:00"/>
    <x v="29"/>
    <x v="2"/>
    <x v="16"/>
    <x v="2"/>
    <n v="22980"/>
    <s v="axe fusée"/>
    <m/>
    <x v="0"/>
    <s v="réparation d'axe fusée et changement des roullement d'axe fusée"/>
    <m/>
    <n v="240"/>
    <n v="240"/>
    <x v="97"/>
    <m/>
    <m/>
    <x v="0"/>
    <x v="0"/>
  </r>
  <r>
    <d v="2020-04-15T00:00:00"/>
    <x v="2"/>
    <x v="2"/>
    <x v="2"/>
    <x v="2"/>
    <n v="22978"/>
    <s v="Entretien"/>
    <m/>
    <x v="0"/>
    <s v="mise a niveau d'huile moteur15W40"/>
    <n v="147706"/>
    <n v="30"/>
    <n v="30"/>
    <x v="98"/>
    <m/>
    <m/>
    <x v="0"/>
    <x v="0"/>
  </r>
  <r>
    <d v="2020-04-15T00:00:00"/>
    <x v="30"/>
    <x v="8"/>
    <x v="24"/>
    <x v="24"/>
    <n v="22979"/>
    <s v="fuite d'eau "/>
    <m/>
    <x v="0"/>
    <s v="réparation du fuite d''eau"/>
    <n v="147707"/>
    <n v="240"/>
    <n v="240"/>
    <x v="98"/>
    <m/>
    <m/>
    <x v="0"/>
    <x v="0"/>
  </r>
  <r>
    <d v="2020-04-17T00:00:00"/>
    <x v="2"/>
    <x v="2"/>
    <x v="2"/>
    <x v="2"/>
    <n v="22981"/>
    <s v="fuite d'huile hydraulique "/>
    <m/>
    <x v="0"/>
    <s v="réparation du fuite d'ehuile"/>
    <n v="147709"/>
    <n v="120"/>
    <n v="120"/>
    <x v="99"/>
    <m/>
    <m/>
    <x v="0"/>
    <x v="0"/>
  </r>
  <r>
    <d v="2020-04-17T00:00:00"/>
    <x v="8"/>
    <x v="3"/>
    <x v="6"/>
    <x v="8"/>
    <n v="22982"/>
    <s v="electrique "/>
    <m/>
    <x v="0"/>
    <s v="réparation d'eclairage "/>
    <n v="147710"/>
    <n v="180"/>
    <n v="180"/>
    <x v="99"/>
    <m/>
    <m/>
    <x v="0"/>
    <x v="0"/>
  </r>
  <r>
    <d v="2020-04-20T00:00:00"/>
    <x v="15"/>
    <x v="2"/>
    <x v="10"/>
    <x v="2"/>
    <n v="22982"/>
    <s v="fuite du gasoil "/>
    <m/>
    <x v="2"/>
    <s v="réparation du probleme de démarrage et  fuite du gasoil _x000a_vidange d'huile moteur "/>
    <n v="147712"/>
    <n v="360"/>
    <n v="360"/>
    <x v="100"/>
    <m/>
    <m/>
    <x v="0"/>
    <x v="0"/>
  </r>
  <r>
    <d v="2020-04-22T00:00:00"/>
    <x v="7"/>
    <x v="1"/>
    <x v="5"/>
    <x v="7"/>
    <n v="22983"/>
    <s v="Entretien"/>
    <m/>
    <x v="1"/>
    <s v="mise a niveau d'uile hydraulique"/>
    <n v="147717"/>
    <n v="30"/>
    <n v="30"/>
    <x v="101"/>
    <m/>
    <m/>
    <x v="0"/>
    <x v="0"/>
  </r>
  <r>
    <d v="2020-04-24T00:00:00"/>
    <x v="4"/>
    <x v="1"/>
    <x v="3"/>
    <x v="4"/>
    <n v="22984"/>
    <s v="carosserie "/>
    <m/>
    <x v="0"/>
    <s v="réparation du probmleme de fixation du plateau sur chassis"/>
    <n v="147718"/>
    <n v="420"/>
    <n v="420"/>
    <x v="102"/>
    <m/>
    <m/>
    <x v="0"/>
    <x v="0"/>
  </r>
  <r>
    <d v="2020-04-24T00:00:00"/>
    <x v="12"/>
    <x v="3"/>
    <x v="3"/>
    <x v="12"/>
    <n v="22985"/>
    <s v="electrique "/>
    <m/>
    <x v="0"/>
    <s v="réparatio d'eclairage du plateau"/>
    <n v="147719"/>
    <n v="120"/>
    <n v="120"/>
    <x v="102"/>
    <m/>
    <m/>
    <x v="0"/>
    <x v="0"/>
  </r>
  <r>
    <d v="2020-04-25T00:00:00"/>
    <x v="7"/>
    <x v="1"/>
    <x v="5"/>
    <x v="7"/>
    <n v="22986"/>
    <s v="Grue de levage"/>
    <m/>
    <x v="0"/>
    <s v="réparation u fixation du jambe de grue de levage "/>
    <n v="147720"/>
    <n v="300"/>
    <n v="300"/>
    <x v="103"/>
    <m/>
    <m/>
    <x v="0"/>
    <x v="0"/>
  </r>
  <r>
    <d v="2020-04-25T00:00:00"/>
    <x v="8"/>
    <x v="3"/>
    <x v="6"/>
    <x v="8"/>
    <n v="22987"/>
    <s v="electrique "/>
    <m/>
    <x v="0"/>
    <s v="réparation d'eclairage et changement de lampes "/>
    <n v="147722"/>
    <n v="180"/>
    <n v="180"/>
    <x v="103"/>
    <m/>
    <m/>
    <x v="0"/>
    <x v="0"/>
  </r>
  <r>
    <d v="2020-04-29T00:00:00"/>
    <x v="23"/>
    <x v="3"/>
    <x v="6"/>
    <x v="18"/>
    <n v="22988"/>
    <s v="pneu "/>
    <m/>
    <x v="0"/>
    <s v="réparation du crevaison pneu"/>
    <n v="147726"/>
    <n v="60"/>
    <n v="60"/>
    <x v="104"/>
    <m/>
    <m/>
    <x v="0"/>
    <x v="0"/>
  </r>
  <r>
    <d v="2020-04-30T00:00:00"/>
    <x v="20"/>
    <x v="1"/>
    <x v="6"/>
    <x v="17"/>
    <n v="22989"/>
    <s v="Embrayage "/>
    <m/>
    <x v="0"/>
    <s v="réparation du pedale d'embrayage"/>
    <n v="147727"/>
    <n v="120"/>
    <n v="120"/>
    <x v="105"/>
    <m/>
    <m/>
    <x v="0"/>
    <x v="0"/>
  </r>
  <r>
    <d v="2020-05-02T00:00:00"/>
    <x v="23"/>
    <x v="3"/>
    <x v="6"/>
    <x v="18"/>
    <n v="22990"/>
    <s v="pneu "/>
    <m/>
    <x v="0"/>
    <s v="réparation du crevaison pneu"/>
    <n v="147728"/>
    <n v="30"/>
    <n v="30"/>
    <x v="106"/>
    <m/>
    <m/>
    <x v="0"/>
    <x v="0"/>
  </r>
  <r>
    <d v="2020-05-02T00:00:00"/>
    <x v="29"/>
    <x v="2"/>
    <x v="16"/>
    <x v="2"/>
    <n v="22991"/>
    <s v="fuite d'huile hydraulique "/>
    <m/>
    <x v="0"/>
    <s v="réparation du fuite d'huile hydraulique"/>
    <m/>
    <n v="180"/>
    <n v="180"/>
    <x v="106"/>
    <m/>
    <m/>
    <x v="0"/>
    <x v="0"/>
  </r>
  <r>
    <d v="2020-05-04T00:00:00"/>
    <x v="8"/>
    <x v="3"/>
    <x v="6"/>
    <x v="8"/>
    <n v="22992"/>
    <s v="fuite d'air"/>
    <m/>
    <x v="0"/>
    <s v="réparation du fuite d'air "/>
    <n v="147729"/>
    <n v="180"/>
    <n v="180"/>
    <x v="107"/>
    <m/>
    <m/>
    <x v="0"/>
    <x v="0"/>
  </r>
  <r>
    <d v="2020-05-05T00:00:00"/>
    <x v="11"/>
    <x v="3"/>
    <x v="3"/>
    <x v="11"/>
    <n v="22993"/>
    <s v="crevaison pneu"/>
    <m/>
    <x v="0"/>
    <s v="réparation du fuite d&quot;air _x000a_réparation d'eclairage _x000a_réparation du crevaison pneu"/>
    <n v="147731"/>
    <n v="240"/>
    <m/>
    <x v="108"/>
    <m/>
    <m/>
    <x v="0"/>
    <x v="0"/>
  </r>
  <r>
    <d v="2020-05-07T00:00:00"/>
    <x v="7"/>
    <x v="1"/>
    <x v="5"/>
    <x v="7"/>
    <n v="22994"/>
    <s v="entretien"/>
    <m/>
    <x v="1"/>
    <s v="vidange d'huile moteur et changement du filtre a huile et filtre a gasoil_x000a_lavage et graissage generale d'egin _x000a_vidange d'huile du ppont arriere _x000a_réparation du grue de levage_x000a_388450 km"/>
    <s v="147735_x000a_147734"/>
    <n v="360"/>
    <n v="360"/>
    <x v="109"/>
    <m/>
    <m/>
    <x v="0"/>
    <x v="0"/>
  </r>
  <r>
    <d v="2020-05-09T00:00:00"/>
    <x v="10"/>
    <x v="1"/>
    <x v="8"/>
    <x v="10"/>
    <n v="22995"/>
    <s v="fuite dd'huile d au niveau de la grue de levage "/>
    <m/>
    <x v="0"/>
    <s v="réparation du fuite d'huile et changement du flexible hydraulique _x000a_de levage du grue"/>
    <n v="147740"/>
    <n v="420"/>
    <n v="420"/>
    <x v="110"/>
    <m/>
    <m/>
    <x v="0"/>
    <x v="0"/>
  </r>
  <r>
    <d v="2020-05-09T00:00:00"/>
    <x v="4"/>
    <x v="1"/>
    <x v="3"/>
    <x v="4"/>
    <n v="22996"/>
    <s v="eclairage "/>
    <m/>
    <x v="0"/>
    <s v="réparation d'eclairage "/>
    <n v="147742"/>
    <n v="120"/>
    <n v="120"/>
    <x v="110"/>
    <m/>
    <m/>
    <x v="0"/>
    <x v="0"/>
  </r>
  <r>
    <d v="2020-05-12T00:00:00"/>
    <x v="1"/>
    <x v="1"/>
    <x v="1"/>
    <x v="1"/>
    <n v="22997"/>
    <s v="accelerateur "/>
    <m/>
    <x v="0"/>
    <s v="réparation du fixation du pedale d'accelerateur"/>
    <n v="147745"/>
    <n v="180"/>
    <n v="180"/>
    <x v="111"/>
    <m/>
    <m/>
    <x v="0"/>
    <x v="0"/>
  </r>
  <r>
    <d v="2020-05-14T00:00:00"/>
    <x v="19"/>
    <x v="7"/>
    <x v="12"/>
    <x v="2"/>
    <n v="22999"/>
    <s v="Entretien"/>
    <m/>
    <x v="1"/>
    <s v="mis a niveau d'huile hydraulique"/>
    <n v="145358"/>
    <n v="30"/>
    <n v="30"/>
    <x v="112"/>
    <m/>
    <m/>
    <x v="0"/>
    <x v="0"/>
  </r>
  <r>
    <d v="2020-05-15T00:00:00"/>
    <x v="23"/>
    <x v="3"/>
    <x v="6"/>
    <x v="18"/>
    <n v="22901"/>
    <s v="Entretien"/>
    <m/>
    <x v="1"/>
    <s v="vidange d'huile moteur 15W40_x000a_lavage et raissage generale d'engin"/>
    <n v="145360"/>
    <n v="180"/>
    <n v="180"/>
    <x v="113"/>
    <m/>
    <m/>
    <x v="0"/>
    <x v="0"/>
  </r>
  <r>
    <d v="2020-05-19T00:00:00"/>
    <x v="24"/>
    <x v="0"/>
    <x v="0"/>
    <x v="19"/>
    <n v="22902"/>
    <s v="Freinage "/>
    <m/>
    <x v="0"/>
    <s v="changement du jeu de plaquettes de frein avant _x000a_et deux disque de frein avant"/>
    <n v="145365"/>
    <n v="570"/>
    <n v="570"/>
    <x v="114"/>
    <m/>
    <m/>
    <x v="0"/>
    <x v="0"/>
  </r>
  <r>
    <d v="2020-05-19T00:00:00"/>
    <x v="8"/>
    <x v="3"/>
    <x v="6"/>
    <x v="8"/>
    <n v="22904"/>
    <s v="Transmission"/>
    <m/>
    <x v="0"/>
    <s v="changement du cope conique complet et deux demi arbre et deux pignon du demi arbre _x000a_changement d'appareille d'air _x000a_lavage et graissage generale d'engin _x000a_vidange d'huile moteur _x000a_599710 km"/>
    <s v="145367_x000a_145376_x000a_145381_x000a_"/>
    <m/>
    <m/>
    <x v="57"/>
    <m/>
    <m/>
    <x v="0"/>
    <x v="0"/>
  </r>
  <r>
    <d v="2020-05-19T00:00:00"/>
    <x v="26"/>
    <x v="2"/>
    <x v="15"/>
    <x v="2"/>
    <n v="23270"/>
    <s v="Entretien"/>
    <s v="vidange"/>
    <x v="1"/>
    <s v="vidange d'huile moteur 15W40"/>
    <m/>
    <m/>
    <m/>
    <x v="57"/>
    <m/>
    <m/>
    <x v="0"/>
    <x v="0"/>
  </r>
  <r>
    <d v="2020-05-20T00:00:00"/>
    <x v="8"/>
    <x v="3"/>
    <x v="6"/>
    <x v="8"/>
    <n v="22903"/>
    <s v="carosserie "/>
    <m/>
    <x v="0"/>
    <s v="changement du rétroveseur coté gauche endommagé a cause d'un accident "/>
    <n v="145366"/>
    <n v="570"/>
    <n v="570"/>
    <x v="114"/>
    <m/>
    <m/>
    <x v="0"/>
    <x v="0"/>
  </r>
  <r>
    <d v="2020-06-01T00:00:00"/>
    <x v="12"/>
    <x v="3"/>
    <x v="3"/>
    <x v="12"/>
    <n v="22908"/>
    <s v="Entretien"/>
    <m/>
    <x v="1"/>
    <s v="entretien et vidange"/>
    <m/>
    <n v="570"/>
    <n v="570"/>
    <x v="115"/>
    <m/>
    <m/>
    <x v="0"/>
    <x v="0"/>
  </r>
  <r>
    <d v="2020-06-01T00:00:00"/>
    <x v="15"/>
    <x v="2"/>
    <x v="10"/>
    <x v="2"/>
    <n v="23268"/>
    <s v="Entretien"/>
    <s v="vidange"/>
    <x v="1"/>
    <s v="vidange d'huile moteur 15W040_x000a_changement du battrie l5_x000a_Reparation du probleme de démarrage moteur "/>
    <s v="14569_x000a_147741"/>
    <n v="570"/>
    <n v="570"/>
    <x v="115"/>
    <m/>
    <m/>
    <x v="0"/>
    <x v="0"/>
  </r>
  <r>
    <d v="2020-06-02T00:00:00"/>
    <x v="11"/>
    <x v="3"/>
    <x v="3"/>
    <x v="11"/>
    <n v="22909"/>
    <s v="Entretien"/>
    <m/>
    <x v="1"/>
    <s v="entretien et vidange"/>
    <m/>
    <n v="570"/>
    <n v="570"/>
    <x v="116"/>
    <m/>
    <m/>
    <x v="0"/>
    <x v="0"/>
  </r>
  <r>
    <d v="2020-06-02T00:00:00"/>
    <x v="17"/>
    <x v="5"/>
    <x v="11"/>
    <x v="15"/>
    <n v="22448"/>
    <s v="Entretien"/>
    <s v="vidange"/>
    <x v="1"/>
    <s v="vidange d'huile moteur _x000a_realge du jeu de frein "/>
    <n v="146854"/>
    <n v="120"/>
    <n v="120"/>
    <x v="117"/>
    <m/>
    <m/>
    <x v="0"/>
    <x v="0"/>
  </r>
  <r>
    <d v="2020-06-04T00:00:00"/>
    <x v="20"/>
    <x v="1"/>
    <x v="6"/>
    <x v="17"/>
    <n v="22905"/>
    <s v="pneu "/>
    <m/>
    <x v="0"/>
    <s v="changement du deux pneu ref 11R22,5"/>
    <n v="145372"/>
    <n v="360"/>
    <n v="360"/>
    <x v="118"/>
    <m/>
    <m/>
    <x v="0"/>
    <x v="0"/>
  </r>
  <r>
    <d v="2020-06-05T00:00:00"/>
    <x v="15"/>
    <x v="2"/>
    <x v="10"/>
    <x v="2"/>
    <n v="23267"/>
    <s v="refroidisement "/>
    <s v="courroie"/>
    <x v="0"/>
    <s v="changement du courroie de ventillateur "/>
    <n v="145377"/>
    <n v="120"/>
    <n v="120"/>
    <x v="119"/>
    <m/>
    <m/>
    <x v="0"/>
    <x v="0"/>
  </r>
  <r>
    <d v="2020-06-08T00:00:00"/>
    <x v="4"/>
    <x v="1"/>
    <x v="3"/>
    <x v="4"/>
    <n v="22907"/>
    <s v="electrique "/>
    <m/>
    <x v="0"/>
    <s v="réparatio d'eclairage du plateau"/>
    <n v="145382"/>
    <n v="180"/>
    <n v="180"/>
    <x v="120"/>
    <m/>
    <m/>
    <x v="0"/>
    <x v="0"/>
  </r>
  <r>
    <d v="2020-06-12T00:00:00"/>
    <x v="29"/>
    <x v="2"/>
    <x v="16"/>
    <x v="2"/>
    <n v="22428"/>
    <s v="Entretien"/>
    <m/>
    <x v="1"/>
    <s v="mise a niveau d'huile hydraulique "/>
    <m/>
    <m/>
    <s v=""/>
    <x v="57"/>
    <m/>
    <m/>
    <x v="0"/>
    <x v="0"/>
  </r>
  <r>
    <d v="2020-06-12T00:00:00"/>
    <x v="26"/>
    <x v="2"/>
    <x v="15"/>
    <x v="2"/>
    <n v="22429"/>
    <s v="démarrage "/>
    <m/>
    <x v="0"/>
    <s v="réparation du démarreur et changement d du jeu des bagues et relais dmarreur "/>
    <s v="145393_x000a_145607"/>
    <n v="570"/>
    <n v="570"/>
    <x v="121"/>
    <m/>
    <m/>
    <x v="0"/>
    <x v="0"/>
  </r>
  <r>
    <d v="2020-06-13T00:00:00"/>
    <x v="16"/>
    <x v="1"/>
    <x v="5"/>
    <x v="14"/>
    <n v="22911"/>
    <s v="Entretien"/>
    <m/>
    <x v="1"/>
    <s v="vidange d'huile moteur 15W40_x000a_"/>
    <n v="145396"/>
    <n v="120"/>
    <n v="120"/>
    <x v="121"/>
    <m/>
    <m/>
    <x v="0"/>
    <x v="0"/>
  </r>
  <r>
    <d v="2020-06-15T00:00:00"/>
    <x v="5"/>
    <x v="3"/>
    <x v="3"/>
    <x v="5"/>
    <n v="22906"/>
    <s v="démarrage "/>
    <m/>
    <x v="0"/>
    <s v="réparation du probleme de démarrage "/>
    <n v="145375"/>
    <n v="1140"/>
    <n v="1140"/>
    <x v="122"/>
    <m/>
    <m/>
    <x v="0"/>
    <x v="0"/>
  </r>
  <r>
    <d v="2020-06-15T00:00:00"/>
    <x v="7"/>
    <x v="1"/>
    <x v="5"/>
    <x v="7"/>
    <n v="22912"/>
    <s v="electrique "/>
    <m/>
    <x v="0"/>
    <s v="réparation d'eclairage "/>
    <n v="146603"/>
    <n v="120"/>
    <n v="120"/>
    <x v="123"/>
    <m/>
    <m/>
    <x v="0"/>
    <x v="0"/>
  </r>
  <r>
    <d v="2020-06-15T00:00:00"/>
    <x v="13"/>
    <x v="1"/>
    <x v="5"/>
    <x v="13"/>
    <n v="22913"/>
    <s v="Entretien"/>
    <m/>
    <x v="1"/>
    <s v="changement du filtre a air a caause du  colmatage de filtre"/>
    <n v="146604"/>
    <n v="60"/>
    <n v="60"/>
    <x v="123"/>
    <m/>
    <m/>
    <x v="0"/>
    <x v="0"/>
  </r>
  <r>
    <d v="2020-06-16T00:00:00"/>
    <x v="8"/>
    <x v="3"/>
    <x v="6"/>
    <x v="8"/>
    <n v="22910"/>
    <s v="embrayage "/>
    <m/>
    <x v="0"/>
    <s v="réparation du probleme d'air comprimée et changement d'appareille d'air (distributeur a quatre chambre ) _x000a_réglage d'embrayage "/>
    <s v="146615_x000a_146610_x000a_146616"/>
    <n v="1710"/>
    <n v="1710"/>
    <x v="124"/>
    <m/>
    <m/>
    <x v="0"/>
    <x v="0"/>
  </r>
  <r>
    <d v="2020-06-16T00:00:00"/>
    <x v="13"/>
    <x v="1"/>
    <x v="5"/>
    <x v="13"/>
    <n v="22914"/>
    <s v="démarrage "/>
    <m/>
    <x v="0"/>
    <s v="changement du causse battrie  et répration du probleme de démarrage "/>
    <n v="146608"/>
    <n v="60"/>
    <n v="60"/>
    <x v="122"/>
    <m/>
    <m/>
    <x v="0"/>
    <x v="0"/>
  </r>
  <r>
    <d v="2020-06-16T00:00:00"/>
    <x v="16"/>
    <x v="1"/>
    <x v="5"/>
    <x v="14"/>
    <n v="22915"/>
    <s v="Entretien"/>
    <m/>
    <x v="0"/>
    <s v="vidange d'huile du pont arriere  "/>
    <n v="146612"/>
    <n v="60"/>
    <n v="60"/>
    <x v="122"/>
    <m/>
    <m/>
    <x v="0"/>
    <x v="0"/>
  </r>
  <r>
    <d v="2020-06-19T00:00:00"/>
    <x v="10"/>
    <x v="1"/>
    <x v="8"/>
    <x v="10"/>
    <n v="22916"/>
    <s v="des pneus"/>
    <m/>
    <x v="0"/>
    <s v="changement du deux pneu ref 11R22,5"/>
    <n v="146618"/>
    <n v="120"/>
    <n v="120"/>
    <x v="125"/>
    <m/>
    <m/>
    <x v="0"/>
    <x v="0"/>
  </r>
  <r>
    <d v="2020-06-19T00:00:00"/>
    <x v="15"/>
    <x v="2"/>
    <x v="10"/>
    <x v="2"/>
    <n v="22431"/>
    <s v="Roue arriere "/>
    <m/>
    <x v="0"/>
    <s v="changement du kit réparation d'axe fusee"/>
    <s v="146619_x000a_146624"/>
    <m/>
    <m/>
    <x v="57"/>
    <m/>
    <m/>
    <x v="0"/>
    <x v="0"/>
  </r>
  <r>
    <d v="2020-06-20T00:00:00"/>
    <x v="7"/>
    <x v="1"/>
    <x v="5"/>
    <x v="7"/>
    <n v="22917"/>
    <s v="Entretien"/>
    <m/>
    <x v="1"/>
    <s v="vidange d'huile moteur 15W40_x000a_lavage et graissage generale d'engin _x000a_réglage du jeu d'embrayage "/>
    <n v="146626"/>
    <n v="240"/>
    <n v="240"/>
    <x v="124"/>
    <m/>
    <m/>
    <x v="0"/>
    <x v="0"/>
  </r>
  <r>
    <d v="2020-06-20T00:00:00"/>
    <x v="19"/>
    <x v="7"/>
    <x v="12"/>
    <x v="2"/>
    <n v="22433"/>
    <s v="Entretien"/>
    <s v="mise a niveau"/>
    <x v="1"/>
    <s v="mise a niveau d'huile moteur 15W40"/>
    <n v="146621"/>
    <n v="30"/>
    <n v="30"/>
    <x v="124"/>
    <m/>
    <m/>
    <x v="0"/>
    <x v="0"/>
  </r>
  <r>
    <d v="2020-06-20T00:00:00"/>
    <x v="26"/>
    <x v="2"/>
    <x v="15"/>
    <x v="2"/>
    <n v="22432"/>
    <s v="freinage "/>
    <s v="huile de frein a basse niveau"/>
    <x v="0"/>
    <s v="réparation du rpobleme d'huile de frein "/>
    <n v="146620"/>
    <n v="240"/>
    <n v="240"/>
    <x v="124"/>
    <m/>
    <m/>
    <x v="0"/>
    <x v="0"/>
  </r>
  <r>
    <d v="2020-06-22T00:00:00"/>
    <x v="36"/>
    <x v="9"/>
    <x v="24"/>
    <x v="24"/>
    <n v="22434"/>
    <s v="démarrage "/>
    <s v=" "/>
    <x v="0"/>
    <s v="change!ment du battrie de démarrage L5 12V"/>
    <n v="146628"/>
    <n v="120"/>
    <n v="120"/>
    <x v="126"/>
    <m/>
    <m/>
    <x v="0"/>
    <x v="0"/>
  </r>
  <r>
    <d v="2020-06-22T00:00:00"/>
    <x v="18"/>
    <x v="1"/>
    <x v="5"/>
    <x v="16"/>
    <n v="22435"/>
    <s v="Entretien"/>
    <m/>
    <x v="0"/>
    <s v="vidange d'huile moteur 15W40 filtre a huile_x000a_réparation du probleme de démarrage "/>
    <n v="146630"/>
    <n v="180"/>
    <n v="180"/>
    <x v="126"/>
    <m/>
    <m/>
    <x v="0"/>
    <x v="0"/>
  </r>
  <r>
    <d v="2020-06-23T00:00:00"/>
    <x v="3"/>
    <x v="1"/>
    <x v="3"/>
    <x v="3"/>
    <n v="22436"/>
    <s v="eclairage "/>
    <m/>
    <x v="2"/>
    <s v="réparation du prob d'eclairage "/>
    <n v="146631"/>
    <n v="120"/>
    <n v="120"/>
    <x v="127"/>
    <m/>
    <m/>
    <x v="0"/>
    <x v="0"/>
  </r>
  <r>
    <d v="2020-06-24T00:00:00"/>
    <x v="6"/>
    <x v="4"/>
    <x v="4"/>
    <x v="6"/>
    <n v="22437"/>
    <s v="Entretien"/>
    <m/>
    <x v="0"/>
    <s v="entretien et vidange"/>
    <n v="146634"/>
    <n v="240"/>
    <n v="240"/>
    <x v="128"/>
    <m/>
    <m/>
    <x v="0"/>
    <x v="0"/>
  </r>
  <r>
    <d v="2020-06-24T00:00:00"/>
    <x v="33"/>
    <x v="2"/>
    <x v="18"/>
    <x v="2"/>
    <n v="22438"/>
    <s v="Entretien"/>
    <m/>
    <x v="0"/>
    <s v="entretien et vidange"/>
    <n v="146635"/>
    <n v="120"/>
    <n v="120"/>
    <x v="128"/>
    <m/>
    <m/>
    <x v="0"/>
    <x v="0"/>
  </r>
  <r>
    <d v="2020-06-25T00:00:00"/>
    <x v="32"/>
    <x v="2"/>
    <x v="2"/>
    <x v="2"/>
    <n v="22439"/>
    <s v="Entretien"/>
    <s v="vidange"/>
    <x v="0"/>
    <s v="entretien et vidange"/>
    <n v="146636"/>
    <n v="120"/>
    <n v="120"/>
    <x v="129"/>
    <m/>
    <m/>
    <x v="0"/>
    <x v="0"/>
  </r>
  <r>
    <d v="2020-06-25T00:00:00"/>
    <x v="20"/>
    <x v="1"/>
    <x v="6"/>
    <x v="17"/>
    <n v="22441"/>
    <s v="essieu avant "/>
    <m/>
    <x v="0"/>
    <s v="changement d'essieu avant achat du laferaille _x000a_changement d'alternateur de charge battrie _x000a_vidange d'huile moteur et changement du filtre a huile "/>
    <m/>
    <m/>
    <m/>
    <x v="57"/>
    <m/>
    <m/>
    <x v="0"/>
    <x v="0"/>
  </r>
  <r>
    <d v="2020-06-25T00:00:00"/>
    <x v="4"/>
    <x v="1"/>
    <x v="3"/>
    <x v="4"/>
    <n v="22442"/>
    <s v="eclairage "/>
    <s v="des lampes "/>
    <x v="0"/>
    <s v="réparaton d'eclirage et changement des lampes "/>
    <n v="146641"/>
    <n v="120"/>
    <n v="120"/>
    <x v="129"/>
    <m/>
    <m/>
    <x v="0"/>
    <x v="0"/>
  </r>
  <r>
    <d v="2020-06-26T00:00:00"/>
    <x v="10"/>
    <x v="1"/>
    <x v="8"/>
    <x v="10"/>
    <n v="22443"/>
    <s v="fuite d'air "/>
    <s v="tuyau percé"/>
    <x v="0"/>
    <s v="réparation du fuite d'air"/>
    <n v="146643"/>
    <n v="180"/>
    <n v="180"/>
    <x v="130"/>
    <m/>
    <m/>
    <x v="0"/>
    <x v="0"/>
  </r>
  <r>
    <d v="2020-06-27T00:00:00"/>
    <x v="37"/>
    <x v="9"/>
    <x v="24"/>
    <x v="24"/>
    <n v="22445"/>
    <s v="fuite d'huile hydraulique "/>
    <s v="fuite d'huile"/>
    <x v="0"/>
    <s v="changement du fleible hydrulique "/>
    <n v="146645"/>
    <n v="1400"/>
    <n v="1400"/>
    <x v="131"/>
    <m/>
    <m/>
    <x v="0"/>
    <x v="0"/>
  </r>
  <r>
    <d v="2020-06-30T00:00:00"/>
    <x v="4"/>
    <x v="1"/>
    <x v="3"/>
    <x v="4"/>
    <n v="22447"/>
    <s v="electrique "/>
    <s v="eclairage"/>
    <x v="0"/>
    <s v="montage des phares secour "/>
    <n v="146852"/>
    <n v="180"/>
    <n v="180"/>
    <x v="131"/>
    <m/>
    <m/>
    <x v="0"/>
    <x v="0"/>
  </r>
  <r>
    <d v="2020-07-01T00:00:00"/>
    <x v="7"/>
    <x v="1"/>
    <x v="5"/>
    <x v="7"/>
    <n v="22450"/>
    <s v="démarrage "/>
    <m/>
    <x v="0"/>
    <s v="changement du bbattrie de démarrage L3"/>
    <n v="146861"/>
    <n v="120"/>
    <n v="120"/>
    <x v="132"/>
    <m/>
    <m/>
    <x v="0"/>
    <x v="0"/>
  </r>
  <r>
    <d v="2020-07-03T00:00:00"/>
    <x v="19"/>
    <x v="7"/>
    <x v="12"/>
    <x v="2"/>
    <n v="22449"/>
    <s v="carosserie"/>
    <s v="aille du roue "/>
    <x v="0"/>
    <s v="réparation dufixation d'aile de roue"/>
    <n v="146857"/>
    <n v="120"/>
    <n v="120"/>
    <x v="133"/>
    <m/>
    <m/>
    <x v="0"/>
    <x v="0"/>
  </r>
  <r>
    <d v="2020-07-04T00:00:00"/>
    <x v="10"/>
    <x v="1"/>
    <x v="8"/>
    <x v="10"/>
    <n v="23251"/>
    <s v="Grue de levage"/>
    <s v="flexible percé"/>
    <x v="0"/>
    <s v="changement du flexible hydraulique "/>
    <n v="146862"/>
    <n v="1740"/>
    <n v="1740"/>
    <x v="134"/>
    <m/>
    <m/>
    <x v="0"/>
    <x v="0"/>
  </r>
  <r>
    <d v="2020-07-06T00:00:00"/>
    <x v="10"/>
    <x v="1"/>
    <x v="8"/>
    <x v="10"/>
    <n v="23252"/>
    <s v="démarrage "/>
    <s v="probleme elctronique "/>
    <x v="0"/>
    <s v="réparation du probleme d'affichage des erreures sur tableu de bord "/>
    <n v="146863"/>
    <n v="2280"/>
    <n v="228"/>
    <x v="135"/>
    <m/>
    <m/>
    <x v="0"/>
    <x v="0"/>
  </r>
  <r>
    <d v="2020-07-09T00:00:00"/>
    <x v="13"/>
    <x v="1"/>
    <x v="5"/>
    <x v="13"/>
    <n v="23254"/>
    <s v="echappement "/>
    <s v="tupe d'echappement endommagée"/>
    <x v="0"/>
    <s v="réparation du bruit a normale au niveua du tube d'echappement _x000a_vidange d'huile du pont arriere "/>
    <n v="146870"/>
    <n v="180"/>
    <n v="180"/>
    <x v="136"/>
    <m/>
    <m/>
    <x v="0"/>
    <x v="0"/>
  </r>
  <r>
    <d v="2020-07-09T00:00:00"/>
    <x v="10"/>
    <x v="1"/>
    <x v="8"/>
    <x v="10"/>
    <n v="23255"/>
    <s v="electrique "/>
    <s v="des lampes "/>
    <x v="0"/>
    <s v="réparation d'&quot;eclairage et changement des lampe ref 17643"/>
    <n v="146871"/>
    <n v="120"/>
    <n v="120"/>
    <x v="136"/>
    <m/>
    <m/>
    <x v="0"/>
    <x v="0"/>
  </r>
  <r>
    <d v="2020-07-11T00:00:00"/>
    <x v="38"/>
    <x v="0"/>
    <x v="25"/>
    <x v="25"/>
    <n v="23257"/>
    <s v="Entretien"/>
    <s v="vidange"/>
    <x v="1"/>
    <s v="vidange d'huile moteur et changement u filtre a hule et filtre a gasoil et filtre a air "/>
    <n v="146877"/>
    <n v="180"/>
    <n v="180"/>
    <x v="135"/>
    <m/>
    <m/>
    <x v="0"/>
    <x v="0"/>
  </r>
  <r>
    <d v="2020-07-11T00:00:00"/>
    <x v="16"/>
    <x v="1"/>
    <x v="5"/>
    <x v="14"/>
    <n v="23258"/>
    <s v="fuite d'air "/>
    <s v="tuyau percé"/>
    <x v="0"/>
    <s v="réparation du fuite d'air et changemment du tuyau percé"/>
    <n v="146878"/>
    <n v="120"/>
    <n v="120"/>
    <x v="135"/>
    <m/>
    <m/>
    <x v="0"/>
    <x v="0"/>
  </r>
  <r>
    <d v="2020-07-14T00:00:00"/>
    <x v="35"/>
    <x v="2"/>
    <x v="13"/>
    <x v="2"/>
    <n v="23260"/>
    <s v="electrique "/>
    <s v="eclairage"/>
    <x v="0"/>
    <s v="changement du manette de levage de fourches "/>
    <n v="146880"/>
    <n v="1140"/>
    <n v="1140"/>
    <x v="137"/>
    <m/>
    <m/>
    <x v="0"/>
    <x v="0"/>
  </r>
  <r>
    <d v="2020-07-14T00:00:00"/>
    <x v="30"/>
    <x v="9"/>
    <x v="24"/>
    <x v="24"/>
    <n v="23262"/>
    <s v="atelier "/>
    <m/>
    <x v="0"/>
    <s v="aménagement d'atelier mecanique auto "/>
    <n v="146888"/>
    <n v="3400"/>
    <n v="3400"/>
    <x v="138"/>
    <m/>
    <m/>
    <x v="0"/>
    <x v="0"/>
  </r>
  <r>
    <d v="2020-07-14T00:00:00"/>
    <x v="30"/>
    <x v="9"/>
    <x v="24"/>
    <x v="24"/>
    <n v="23259"/>
    <s v="entretien"/>
    <s v="vidange"/>
    <x v="0"/>
    <s v="vidange d'hule moteur 15W40_x000a_changement di filtre a huile et filtre a gasoil"/>
    <n v="146881"/>
    <n v="360"/>
    <n v="360"/>
    <x v="139"/>
    <m/>
    <m/>
    <x v="0"/>
    <x v="0"/>
  </r>
  <r>
    <d v="2020-07-14T00:00:00"/>
    <x v="35"/>
    <x v="2"/>
    <x v="13"/>
    <x v="2"/>
    <n v="23260"/>
    <s v="démarrage "/>
    <s v="probleme elctronique "/>
    <x v="0"/>
    <s v="changement du manette de llevier hydraulique "/>
    <n v="146880"/>
    <m/>
    <m/>
    <x v="57"/>
    <m/>
    <m/>
    <x v="0"/>
    <x v="0"/>
  </r>
  <r>
    <d v="2020-07-17T00:00:00"/>
    <x v="7"/>
    <x v="1"/>
    <x v="5"/>
    <x v="7"/>
    <m/>
    <m/>
    <m/>
    <x v="2"/>
    <m/>
    <m/>
    <m/>
    <s v=""/>
    <x v="57"/>
    <m/>
    <m/>
    <x v="0"/>
    <x v="0"/>
  </r>
  <r>
    <d v="2020-07-18T00:00:00"/>
    <x v="30"/>
    <x v="10"/>
    <x v="24"/>
    <x v="24"/>
    <n v="23262"/>
    <s v="atelier "/>
    <s v="organisation"/>
    <x v="0"/>
    <s v="organisation d'atelier"/>
    <n v="146888"/>
    <n v="3460"/>
    <n v="3460"/>
    <x v="140"/>
    <m/>
    <m/>
    <x v="0"/>
    <x v="0"/>
  </r>
  <r>
    <d v="2020-07-21T00:00:00"/>
    <x v="38"/>
    <x v="0"/>
    <x v="25"/>
    <x v="25"/>
    <n v="23266"/>
    <s v="Freinage "/>
    <s v="plaquette usée "/>
    <x v="0"/>
    <s v="changement du jeu de plaquette de frein_x000a_changement du courroie de distribution _x000a_changement du support moteur inf "/>
    <n v="148801"/>
    <n v="1140"/>
    <n v="1140"/>
    <x v="141"/>
    <m/>
    <m/>
    <x v="0"/>
    <x v="0"/>
  </r>
  <r>
    <d v="2020-07-22T00:00:00"/>
    <x v="37"/>
    <x v="9"/>
    <x v="24"/>
    <x v="24"/>
    <n v="23285"/>
    <s v="galet de rampe"/>
    <s v="galet de rampe"/>
    <x v="0"/>
    <s v="changement du deux galet de monte charge "/>
    <n v="149454"/>
    <n v="1710"/>
    <n v="11400"/>
    <x v="142"/>
    <m/>
    <m/>
    <x v="0"/>
    <x v="0"/>
  </r>
  <r>
    <d v="2020-07-23T00:00:00"/>
    <x v="22"/>
    <x v="2"/>
    <x v="14"/>
    <x v="2"/>
    <n v="23271"/>
    <s v="moteur"/>
    <s v="moteur endommagé"/>
    <x v="0"/>
    <s v="changement du moteur thermique achat du laferaille _x000a_changement des injecteur et des joint du plaque aavant de distriution_x000a_vidange d'huile moteur 15W40_x000a_filtre a huile "/>
    <s v="148808_x000a_148813_x000a_148814_x000a_148818"/>
    <n v="3420"/>
    <n v="6270"/>
    <x v="143"/>
    <m/>
    <m/>
    <x v="0"/>
    <x v="0"/>
  </r>
  <r>
    <d v="2020-07-23T00:00:00"/>
    <x v="5"/>
    <x v="3"/>
    <x v="3"/>
    <x v="5"/>
    <n v="23272"/>
    <s v="embrayage "/>
    <s v="huile d'embrayage "/>
    <x v="0"/>
    <s v="réparation du fuite au niveu du circuit d''huile d'embrayage "/>
    <n v="148809"/>
    <n v="240"/>
    <n v="240"/>
    <x v="138"/>
    <m/>
    <m/>
    <x v="0"/>
    <x v="0"/>
  </r>
  <r>
    <d v="2020-07-27T00:00:00"/>
    <x v="0"/>
    <x v="0"/>
    <x v="0"/>
    <x v="0"/>
    <n v="23273"/>
    <s v="Entretien"/>
    <s v="vidange"/>
    <x v="0"/>
    <s v="vidange d'uile moteur 1540_x000a_réparation du probleme de direction _x000a_245746 km"/>
    <n v="148822"/>
    <n v="120"/>
    <n v="120"/>
    <x v="144"/>
    <m/>
    <m/>
    <x v="0"/>
    <x v="0"/>
  </r>
  <r>
    <d v="2020-07-29T00:00:00"/>
    <x v="24"/>
    <x v="0"/>
    <x v="0"/>
    <x v="19"/>
    <n v="23274"/>
    <s v="Entretien"/>
    <s v="vidange"/>
    <x v="0"/>
    <s v="vidange d'uhuile moteur et changement du filtre a huile _x000a_et filtre du climatiseur"/>
    <m/>
    <m/>
    <m/>
    <x v="57"/>
    <m/>
    <m/>
    <x v="0"/>
    <x v="0"/>
  </r>
  <r>
    <d v="2020-08-07T00:00:00"/>
    <x v="15"/>
    <x v="2"/>
    <x v="10"/>
    <x v="2"/>
    <n v="23275"/>
    <s v="démarrage "/>
    <s v="battrie de démarrage "/>
    <x v="0"/>
    <s v="réparation du probleme de démarrage et mise _x000a_a  niveau d'huile hydraulique "/>
    <n v="148825"/>
    <n v="120"/>
    <n v="120"/>
    <x v="145"/>
    <m/>
    <m/>
    <x v="0"/>
    <x v="0"/>
  </r>
  <r>
    <d v="2020-08-07T00:00:00"/>
    <x v="1"/>
    <x v="1"/>
    <x v="1"/>
    <x v="1"/>
    <n v="23293"/>
    <s v="Freinage "/>
    <s v="garniture de frein"/>
    <x v="0"/>
    <s v="changement du deux jeu de garnirure de frein _x000a_des master de frein 8 master adaptable _x000a_des arrét de graisse _x000a_vidange d'huile moteur _x000a_715655km"/>
    <s v="149476_x000a_149490_x000a_140483"/>
    <n v="3990"/>
    <n v="11400"/>
    <x v="146"/>
    <m/>
    <m/>
    <x v="0"/>
    <x v="0"/>
  </r>
  <r>
    <d v="2020-08-10T00:00:00"/>
    <x v="23"/>
    <x v="3"/>
    <x v="6"/>
    <x v="18"/>
    <n v="23276"/>
    <s v="carosserie "/>
    <s v="rétroveseur endommagé"/>
    <x v="0"/>
    <s v="changement du rétroveseur coté gauche endommagé a cause d'un accident "/>
    <n v="148827"/>
    <n v="240"/>
    <n v="240"/>
    <x v="147"/>
    <m/>
    <m/>
    <x v="0"/>
    <x v="0"/>
  </r>
  <r>
    <d v="2020-08-10T00:00:00"/>
    <x v="2"/>
    <x v="2"/>
    <x v="2"/>
    <x v="2"/>
    <n v="23277"/>
    <s v="Entretien"/>
    <s v="mise a niveau"/>
    <x v="0"/>
    <s v="mise a niveau d'huie moteur 15W40"/>
    <n v="148829"/>
    <n v="30"/>
    <n v="30"/>
    <x v="147"/>
    <m/>
    <m/>
    <x v="0"/>
    <x v="0"/>
  </r>
  <r>
    <d v="2020-08-10T00:00:00"/>
    <x v="13"/>
    <x v="1"/>
    <x v="5"/>
    <x v="13"/>
    <n v="23311"/>
    <s v="carosserie "/>
    <s v="peinture "/>
    <x v="0"/>
    <s v="réparation du freinage et changement du deux jeu de garniture de frein _x000a_at des arrét de graisse moyeu réparation d'eclairage _x000a_peinture generale d'engin _x000a_changement des pieces de carosserie _x000a_réparation d'eclairage "/>
    <s v="149453_x000a_149458_x000a_149469_x000a_149481_x000a_149482_x000a_149486_x000a_141591_x000a_151560_x000a_151555_x000a_151148_x000a_151142_x000a_150131_x000a_150133_x000a_150126_x000a_150120"/>
    <n v="14250"/>
    <n v="22800"/>
    <x v="148"/>
    <m/>
    <m/>
    <x v="0"/>
    <x v="0"/>
  </r>
  <r>
    <d v="2020-08-11T00:00:00"/>
    <x v="16"/>
    <x v="1"/>
    <x v="5"/>
    <x v="14"/>
    <n v="23278"/>
    <s v="electrique "/>
    <s v="des lampes "/>
    <x v="0"/>
    <s v="changement des lampes"/>
    <s v="148830_x000a_148831"/>
    <n v="60"/>
    <n v="60"/>
    <x v="149"/>
    <m/>
    <m/>
    <x v="0"/>
    <x v="0"/>
  </r>
  <r>
    <d v="2020-08-11T00:00:00"/>
    <x v="34"/>
    <x v="2"/>
    <x v="19"/>
    <x v="2"/>
    <n v="23288"/>
    <s v="levage des fourches"/>
    <s v="fuite d'huile"/>
    <x v="0"/>
    <s v="réparation du deux verin de levage des fourches _x000a_et confection du deux tige verin par ARI _x000a_changement du kit réparation verin de levage"/>
    <n v="149462"/>
    <n v="1710"/>
    <n v="6270"/>
    <x v="150"/>
    <m/>
    <m/>
    <x v="0"/>
    <x v="0"/>
  </r>
  <r>
    <d v="2020-08-15T00:00:00"/>
    <x v="26"/>
    <x v="2"/>
    <x v="15"/>
    <x v="2"/>
    <n v="23280"/>
    <s v="levage des fourches"/>
    <s v="des fourches"/>
    <x v="0"/>
    <s v="soudage des fourches de levage "/>
    <n v="148838"/>
    <n v="570"/>
    <n v="570"/>
    <x v="151"/>
    <m/>
    <m/>
    <x v="0"/>
    <x v="0"/>
  </r>
  <r>
    <d v="2020-08-17T00:00:00"/>
    <x v="7"/>
    <x v="11"/>
    <x v="5"/>
    <x v="7"/>
    <n v="23263"/>
    <s v="Entretien"/>
    <s v="vidange"/>
    <x v="1"/>
    <s v="Réparation du fixation du plateau sur chassis et vidange d'huile moteur 15W40"/>
    <n v="146889"/>
    <n v="570"/>
    <n v="570"/>
    <x v="142"/>
    <m/>
    <m/>
    <x v="0"/>
    <x v="0"/>
  </r>
  <r>
    <d v="2020-08-17T00:00:00"/>
    <x v="7"/>
    <x v="1"/>
    <x v="5"/>
    <x v="7"/>
    <n v="23281"/>
    <s v="Entretien"/>
    <s v="vidange"/>
    <x v="0"/>
    <s v="vidange d'huile moteur et_x000a_ réparation d'eclairage _x000a_422798 km"/>
    <n v="148843"/>
    <n v="180"/>
    <n v="180"/>
    <x v="152"/>
    <m/>
    <m/>
    <x v="0"/>
    <x v="0"/>
  </r>
  <r>
    <d v="2020-08-17T00:00:00"/>
    <x v="10"/>
    <x v="1"/>
    <x v="8"/>
    <x v="10"/>
    <n v="23282"/>
    <s v="electrique "/>
    <s v="eclairage"/>
    <x v="0"/>
    <s v="réparation d'eclairage "/>
    <n v="148844"/>
    <n v="60"/>
    <n v="60"/>
    <x v="152"/>
    <m/>
    <m/>
    <x v="0"/>
    <x v="0"/>
  </r>
  <r>
    <d v="2020-08-17T00:00:00"/>
    <x v="12"/>
    <x v="3"/>
    <x v="3"/>
    <x v="12"/>
    <n v="23283"/>
    <s v="electrique "/>
    <s v="eclairage"/>
    <x v="0"/>
    <s v="réparation d'eclairage "/>
    <n v="148845"/>
    <n v="120"/>
    <n v="120"/>
    <x v="152"/>
    <m/>
    <m/>
    <x v="0"/>
    <x v="0"/>
  </r>
  <r>
    <d v="2020-08-17T00:00:00"/>
    <x v="23"/>
    <x v="3"/>
    <x v="6"/>
    <x v="18"/>
    <n v="23284"/>
    <s v="fuite d'eau "/>
    <s v="compresseur d'air"/>
    <x v="0"/>
    <s v="réparation du fuite d'eau et chagement du kit réparation du compresseur d'air comprimé"/>
    <s v="149451_x000a_149463"/>
    <n v="1140"/>
    <n v="3420"/>
    <x v="153"/>
    <m/>
    <m/>
    <x v="0"/>
    <x v="0"/>
  </r>
  <r>
    <d v="2020-08-17T00:00:00"/>
    <x v="28"/>
    <x v="2"/>
    <x v="13"/>
    <x v="2"/>
    <n v="23287"/>
    <s v="démarrage "/>
    <s v="démarreur"/>
    <x v="0"/>
    <s v="chagement du démarreur complet "/>
    <n v="149461"/>
    <n v="570"/>
    <n v="2280"/>
    <x v="153"/>
    <m/>
    <m/>
    <x v="0"/>
    <x v="0"/>
  </r>
  <r>
    <d v="2020-08-17T00:00:00"/>
    <x v="22"/>
    <x v="2"/>
    <x v="14"/>
    <x v="2"/>
    <n v="23297"/>
    <s v="roue avant "/>
    <s v="crevaison pneu "/>
    <x v="0"/>
    <s v="réparaion du crevaison pneu et changement du chambre a air "/>
    <n v="149480"/>
    <n v="180"/>
    <n v="1470"/>
    <x v="154"/>
    <m/>
    <m/>
    <x v="0"/>
    <x v="0"/>
  </r>
  <r>
    <d v="2020-08-18T00:00:00"/>
    <x v="3"/>
    <x v="1"/>
    <x v="3"/>
    <x v="3"/>
    <n v="23295"/>
    <s v="electrique "/>
    <s v="eclairage"/>
    <x v="0"/>
    <s v="réparation d'eclairage "/>
    <n v="149478"/>
    <n v="60"/>
    <n v="60"/>
    <x v="142"/>
    <m/>
    <m/>
    <x v="0"/>
    <x v="0"/>
  </r>
  <r>
    <d v="2020-08-21T00:00:00"/>
    <x v="7"/>
    <x v="1"/>
    <x v="5"/>
    <x v="7"/>
    <n v="23265"/>
    <s v="electrique "/>
    <s v="eclairage"/>
    <x v="0"/>
    <s v="réparation d'ecaiorage et changement des lampes "/>
    <n v="148801"/>
    <n v="120"/>
    <n v="120"/>
    <x v="155"/>
    <m/>
    <m/>
    <x v="0"/>
    <x v="0"/>
  </r>
  <r>
    <d v="2020-08-22T00:00:00"/>
    <x v="15"/>
    <x v="2"/>
    <x v="10"/>
    <x v="2"/>
    <n v="23286"/>
    <s v="Roue arriere "/>
    <s v="axe pivot endommagé"/>
    <x v="0"/>
    <s v="changement du kit réparation d'axe pivot  "/>
    <n v="149460"/>
    <n v="240"/>
    <n v="240"/>
    <x v="153"/>
    <m/>
    <m/>
    <x v="0"/>
    <x v="0"/>
  </r>
  <r>
    <d v="2020-08-22T00:00:00"/>
    <x v="15"/>
    <x v="2"/>
    <x v="10"/>
    <x v="2"/>
    <n v="23289"/>
    <s v="Entretien"/>
    <s v="vidange"/>
    <x v="1"/>
    <s v="vidange d'huile moteur et changement _x000a_du filtre a huile et filtre a gasoil_x000a_7618 h"/>
    <n v="149464"/>
    <n v="120"/>
    <n v="120"/>
    <x v="153"/>
    <m/>
    <m/>
    <x v="0"/>
    <x v="0"/>
  </r>
  <r>
    <d v="2020-08-22T00:00:00"/>
    <x v="16"/>
    <x v="1"/>
    <x v="5"/>
    <x v="14"/>
    <n v="23290"/>
    <s v="Entretien"/>
    <s v="vidange"/>
    <x v="1"/>
    <s v="vidange d'huile moteur 15W40_x000a_changement du filtre a huile et filtre a gasoil_x000a_réparation d'eclairage _x000a_534093 km"/>
    <s v="149465_x000a_149566"/>
    <n v="180"/>
    <n v="180"/>
    <x v="153"/>
    <m/>
    <m/>
    <x v="0"/>
    <x v="0"/>
  </r>
  <r>
    <d v="2020-08-24T00:00:00"/>
    <x v="37"/>
    <x v="3"/>
    <x v="24"/>
    <x v="24"/>
    <n v="23316"/>
    <s v="levage des fourches"/>
    <s v="galet de rampe"/>
    <x v="0"/>
    <s v="changement des galet de rampe 10galet _x000a_et deux pour mat de levage _x000a_chgangement du battrie de démarre l5_x000a_déplacement du chariot a sté sinaston"/>
    <s v="150121_x000a_151561_x000a_150149_x000a_150147_x000a_150141_x000a_151139"/>
    <n v="3420"/>
    <n v="13680"/>
    <x v="156"/>
    <m/>
    <m/>
    <x v="0"/>
    <x v="0"/>
  </r>
  <r>
    <d v="2020-08-25T00:00:00"/>
    <x v="10"/>
    <x v="1"/>
    <x v="8"/>
    <x v="10"/>
    <n v="23300"/>
    <s v="Entretien"/>
    <s v="vidange"/>
    <x v="0"/>
    <s v="vidange d'huile moteur _x000a_et changement du filtre a huile et filtre a gasoil_x000a_lavage et graissage generale d'engin_x000a_619299 km"/>
    <n v="149487"/>
    <n v="120"/>
    <n v="120"/>
    <x v="157"/>
    <m/>
    <m/>
    <x v="0"/>
    <x v="0"/>
  </r>
  <r>
    <d v="2020-08-26T00:00:00"/>
    <x v="12"/>
    <x v="3"/>
    <x v="3"/>
    <x v="12"/>
    <n v="23291"/>
    <s v="electrique "/>
    <s v="eclairage"/>
    <x v="0"/>
    <s v="réparation d'eclairage "/>
    <n v="149474"/>
    <n v="120"/>
    <n v="120"/>
    <x v="158"/>
    <m/>
    <m/>
    <x v="0"/>
    <x v="0"/>
  </r>
  <r>
    <d v="2020-08-27T00:00:00"/>
    <x v="2"/>
    <x v="2"/>
    <x v="2"/>
    <x v="2"/>
    <n v="23294"/>
    <s v="Entretien"/>
    <s v="vidange"/>
    <x v="0"/>
    <s v="vidange d'huile moteur _x000a_et changement du filtre a huile et filtre a gaoil_x000a_lavage et graissage generale d'engin_x000a_panne du compteur h"/>
    <n v="149477"/>
    <n v="120"/>
    <n v="120"/>
    <x v="159"/>
    <m/>
    <m/>
    <x v="0"/>
    <x v="0"/>
  </r>
  <r>
    <d v="2020-08-27T00:00:00"/>
    <x v="19"/>
    <x v="7"/>
    <x v="12"/>
    <x v="2"/>
    <n v="23296"/>
    <s v="arrét du moteur "/>
    <s v="solinoide d'arrét moteur "/>
    <x v="0"/>
    <s v="changemlent du solinoid d'arrét moteur achat du piece adaptable _x000a_puis endomagement du solinoide acheté _x000a_réparation d'ancienne solinoid original pour déppanage "/>
    <n v="149479"/>
    <n v="1710"/>
    <n v="1710"/>
    <x v="160"/>
    <m/>
    <m/>
    <x v="0"/>
    <x v="0"/>
  </r>
  <r>
    <d v="2020-08-28T00:00:00"/>
    <x v="18"/>
    <x v="1"/>
    <x v="5"/>
    <x v="16"/>
    <n v="23292"/>
    <s v="fuite du gasoil "/>
    <s v="pompe d'amorssage "/>
    <x v="0"/>
    <s v="changement du pompe d'amorssage endommegé"/>
    <n v="149475"/>
    <n v="60"/>
    <n v="60"/>
    <x v="161"/>
    <m/>
    <m/>
    <x v="0"/>
    <x v="0"/>
  </r>
  <r>
    <d v="2020-08-29T00:00:00"/>
    <x v="7"/>
    <x v="1"/>
    <x v="5"/>
    <x v="7"/>
    <n v="22920"/>
    <s v="electrique "/>
    <s v="eclairage"/>
    <x v="0"/>
    <s v="réparation d'eclairage et changeement des lampes "/>
    <n v="189488"/>
    <n v="120"/>
    <n v="120"/>
    <x v="146"/>
    <m/>
    <m/>
    <x v="0"/>
    <x v="0"/>
  </r>
  <r>
    <d v="2020-08-29T00:00:00"/>
    <x v="16"/>
    <x v="1"/>
    <x v="5"/>
    <x v="14"/>
    <n v="23298"/>
    <s v="eclairage "/>
    <s v="des lampes "/>
    <x v="0"/>
    <s v="réparation d'ecaiorage et changement des lampes "/>
    <n v="149484"/>
    <n v="60"/>
    <n v="60"/>
    <x v="146"/>
    <m/>
    <m/>
    <x v="0"/>
    <x v="0"/>
  </r>
  <r>
    <d v="2020-08-29T00:00:00"/>
    <x v="10"/>
    <x v="1"/>
    <x v="8"/>
    <x v="10"/>
    <n v="23299"/>
    <s v="eclairage "/>
    <s v="des lampes "/>
    <x v="0"/>
    <s v="réparation d'ecaiorage et changement des lampes "/>
    <n v="149485"/>
    <n v="60"/>
    <n v="60"/>
    <x v="146"/>
    <m/>
    <m/>
    <x v="0"/>
    <x v="0"/>
  </r>
  <r>
    <d v="2020-08-31T00:00:00"/>
    <x v="19"/>
    <x v="7"/>
    <x v="12"/>
    <x v="2"/>
    <n v="22921"/>
    <s v="huile hydraulique "/>
    <s v="fuite d'huile "/>
    <x v="0"/>
    <s v="réparation du fuite d'huile et mise a niveau d'huile hydraulique "/>
    <n v="149486"/>
    <n v="120"/>
    <n v="120"/>
    <x v="162"/>
    <m/>
    <m/>
    <x v="0"/>
    <x v="0"/>
  </r>
  <r>
    <d v="2020-09-01T00:00:00"/>
    <x v="17"/>
    <x v="5"/>
    <x v="11"/>
    <x v="15"/>
    <n v="22922"/>
    <s v="direction"/>
    <s v="barre de direction "/>
    <x v="0"/>
    <s v="changement du barre de direction "/>
    <n v="149492"/>
    <n v="240"/>
    <n v="240"/>
    <x v="163"/>
    <m/>
    <m/>
    <x v="0"/>
    <x v="0"/>
  </r>
  <r>
    <d v="2020-09-01T00:00:00"/>
    <x v="16"/>
    <x v="1"/>
    <x v="5"/>
    <x v="14"/>
    <n v="23301"/>
    <s v="grue de levage "/>
    <s v="mal fonction"/>
    <x v="0"/>
    <s v="réparation du probleme de levage du grue "/>
    <m/>
    <n v="120"/>
    <n v="120"/>
    <x v="163"/>
    <m/>
    <m/>
    <x v="0"/>
    <x v="0"/>
  </r>
  <r>
    <d v="2020-09-01T00:00:00"/>
    <x v="15"/>
    <x v="2"/>
    <x v="10"/>
    <x v="2"/>
    <n v="23310"/>
    <s v="arrét du moteur "/>
    <s v="solinoide d'arrét moteur "/>
    <x v="0"/>
    <s v="changement du solinoide d'arrét moteur "/>
    <n v="150113"/>
    <n v="240"/>
    <n v="240"/>
    <x v="164"/>
    <m/>
    <m/>
    <x v="0"/>
    <x v="0"/>
  </r>
  <r>
    <d v="2020-09-02T00:00:00"/>
    <x v="15"/>
    <x v="2"/>
    <x v="10"/>
    <x v="2"/>
    <n v="22923"/>
    <s v="Entretien"/>
    <s v="mise a niveau"/>
    <x v="1"/>
    <s v="mise a iniveau d'huile hydraulique et huile moteur"/>
    <n v="149493"/>
    <n v="30"/>
    <n v="30"/>
    <x v="165"/>
    <m/>
    <m/>
    <x v="0"/>
    <x v="0"/>
  </r>
  <r>
    <d v="2020-09-02T00:00:00"/>
    <x v="9"/>
    <x v="5"/>
    <x v="7"/>
    <x v="9"/>
    <n v="22924"/>
    <s v="electrique "/>
    <s v="eclairage"/>
    <x v="0"/>
    <s v="réparation d'ecaiorage et changement des lampes "/>
    <n v="149494"/>
    <n v="60"/>
    <n v="60"/>
    <x v="165"/>
    <m/>
    <m/>
    <x v="0"/>
    <x v="0"/>
  </r>
  <r>
    <d v="2020-09-02T00:00:00"/>
    <x v="16"/>
    <x v="1"/>
    <x v="5"/>
    <x v="14"/>
    <n v="22925"/>
    <s v="fuite d'huile hydraulique "/>
    <s v="flexible percé"/>
    <x v="0"/>
    <s v="changement du deux felxible hydraulique du grue de levage"/>
    <n v="149495"/>
    <n v="180"/>
    <n v="180"/>
    <x v="165"/>
    <m/>
    <m/>
    <x v="0"/>
    <x v="0"/>
  </r>
  <r>
    <d v="2020-09-02T00:00:00"/>
    <x v="18"/>
    <x v="1"/>
    <x v="5"/>
    <x v="16"/>
    <n v="23302"/>
    <s v="Transmission"/>
    <s v="boite vitesse "/>
    <x v="0"/>
    <s v="sortie hors ste pour réparation du probleme _x000a_changement du boite de vitesse achat occasion du laferaille( boite du camion mitsubishi 8 goujon )_x000a_réparation du fuite d'huile d'embrayage et vidange d'huile moteur et huile du pont arriere _x000a_réparation d'eclairage "/>
    <s v="151920_x000a_151916_x000a_151612_x000a_151905_x000a_151901_x000a_151901_x000a_151954_x000a_151598"/>
    <n v="5700"/>
    <n v="14250"/>
    <x v="166"/>
    <d v="2021-10-02T00:00:00"/>
    <m/>
    <x v="0"/>
    <x v="0"/>
  </r>
  <r>
    <d v="2020-09-02T00:00:00"/>
    <x v="1"/>
    <x v="1"/>
    <x v="1"/>
    <x v="1"/>
    <n v="23303"/>
    <s v="suspension"/>
    <s v="des ressorts a lame "/>
    <x v="0"/>
    <s v="réparation des ressorts a lame et des axedu jumelle"/>
    <m/>
    <n v="570"/>
    <n v="570"/>
    <x v="167"/>
    <m/>
    <m/>
    <x v="0"/>
    <x v="0"/>
  </r>
  <r>
    <d v="2020-09-02T00:00:00"/>
    <x v="16"/>
    <x v="1"/>
    <x v="5"/>
    <x v="14"/>
    <n v="23304"/>
    <s v="Transmission"/>
    <s v="pont arriere"/>
    <x v="0"/>
    <s v="sortie hors ste pour réparation du probleme _x000a_déplacement vers auto hall pour controlée la source _x000a_avec contrôle du mr brahim _x000a_réparation du cope conique par un sous traitant ( mr aabdou)"/>
    <s v="150109_x000a_150104_x000a_151558_x000a_151580_x000a_151913_x000a_151914_x000a_151917_x000a_151921"/>
    <n v="2240"/>
    <n v="13680"/>
    <x v="168"/>
    <m/>
    <m/>
    <x v="0"/>
    <x v="0"/>
  </r>
  <r>
    <d v="2020-09-02T00:00:00"/>
    <x v="23"/>
    <x v="3"/>
    <x v="6"/>
    <x v="18"/>
    <n v="23305"/>
    <s v="electrique "/>
    <s v="démarreur"/>
    <x v="0"/>
    <s v="réparation du probleme de démarrage "/>
    <n v="150101"/>
    <n v="120"/>
    <n v="120"/>
    <x v="165"/>
    <m/>
    <m/>
    <x v="0"/>
    <x v="0"/>
  </r>
  <r>
    <d v="2020-09-02T00:00:00"/>
    <x v="29"/>
    <x v="2"/>
    <x v="16"/>
    <x v="2"/>
    <n v="23306"/>
    <s v="huile hydraulique "/>
    <s v="fuite d'huile "/>
    <x v="0"/>
    <s v="réparation du fuite d'huile hydraulique et changement _x000a_du filtre a huile hydraulique"/>
    <n v="150102"/>
    <n v="120"/>
    <n v="120"/>
    <x v="165"/>
    <m/>
    <m/>
    <x v="0"/>
    <x v="0"/>
  </r>
  <r>
    <d v="2020-09-02T00:00:00"/>
    <x v="26"/>
    <x v="2"/>
    <x v="15"/>
    <x v="2"/>
    <n v="23307"/>
    <s v="levage des fourches"/>
    <s v="chaine de levage "/>
    <x v="0"/>
    <s v="changement du chaine de levage "/>
    <n v="150103"/>
    <n v="1140"/>
    <n v="1140"/>
    <x v="169"/>
    <m/>
    <m/>
    <x v="0"/>
    <x v="0"/>
  </r>
  <r>
    <d v="2020-09-02T00:00:00"/>
    <x v="1"/>
    <x v="1"/>
    <x v="1"/>
    <x v="1"/>
    <n v="23314"/>
    <s v="suspension"/>
    <s v="des ressorts a lame "/>
    <x v="0"/>
    <s v="réparation des element de susponsion "/>
    <n v="151"/>
    <n v="570"/>
    <n v="570"/>
    <x v="167"/>
    <m/>
    <m/>
    <x v="0"/>
    <x v="0"/>
  </r>
  <r>
    <d v="2020-09-03T00:00:00"/>
    <x v="20"/>
    <x v="1"/>
    <x v="6"/>
    <x v="17"/>
    <n v="23315"/>
    <s v="moteur"/>
    <s v="moteur endommagé"/>
    <x v="0"/>
    <s v="changement du moteur thermique (achat du laferaille par mr brahim )_x000a_ancienne model )_x000a_changement du disque d'embrayage reglage du jeu de frein _x000a_réparation d'eclairage "/>
    <s v="150136_x000a_150132_x000a_150128_x000a_150116_x000a_150122"/>
    <n v="3990"/>
    <n v="6270"/>
    <x v="170"/>
    <m/>
    <m/>
    <x v="0"/>
    <x v="0"/>
  </r>
  <r>
    <d v="2020-09-04T00:00:00"/>
    <x v="10"/>
    <x v="1"/>
    <x v="8"/>
    <x v="10"/>
    <n v="23308"/>
    <s v="démarrage "/>
    <s v="démarreur"/>
    <x v="0"/>
    <s v="réparation du prbleme de démarrage "/>
    <n v="150106"/>
    <n v="120"/>
    <n v="120"/>
    <x v="169"/>
    <m/>
    <m/>
    <x v="0"/>
    <x v="0"/>
  </r>
  <r>
    <d v="2020-09-04T00:00:00"/>
    <x v="28"/>
    <x v="2"/>
    <x v="13"/>
    <x v="2"/>
    <n v="23309"/>
    <s v="entretien"/>
    <s v="mise a niveau"/>
    <x v="0"/>
    <s v="mise a niveau d'huile moteur 15W40"/>
    <n v="150110"/>
    <n v="30"/>
    <n v="30"/>
    <x v="169"/>
    <m/>
    <m/>
    <x v="0"/>
    <x v="0"/>
  </r>
  <r>
    <d v="2020-09-07T00:00:00"/>
    <x v="34"/>
    <x v="2"/>
    <x v="19"/>
    <x v="2"/>
    <n v="23336"/>
    <s v="fuite d'huile hydraulique "/>
    <s v="arrét d'huile "/>
    <x v="0"/>
    <s v="changement d'arrét d'huile pompe hydraulique _x000a_des roullement de pompe _x000a_et leur joint torique _x000a_filtre a gasoil "/>
    <s v="151919_x000a_151119_x000a_151526"/>
    <m/>
    <m/>
    <x v="57"/>
    <m/>
    <m/>
    <x v="0"/>
    <x v="0"/>
  </r>
  <r>
    <d v="2020-09-10T00:00:00"/>
    <x v="28"/>
    <x v="2"/>
    <x v="13"/>
    <x v="2"/>
    <n v="23318"/>
    <s v="Entretien"/>
    <s v="vidange"/>
    <x v="1"/>
    <s v="vidange d'huil moteur 15W40_x000a_24226 h"/>
    <n v="150135"/>
    <n v="60"/>
    <n v="60"/>
    <x v="171"/>
    <m/>
    <m/>
    <x v="0"/>
    <x v="0"/>
  </r>
  <r>
    <d v="2020-09-11T00:00:00"/>
    <x v="0"/>
    <x v="0"/>
    <x v="0"/>
    <x v="0"/>
    <n v="23319"/>
    <s v="pneu "/>
    <s v="usure des pneus"/>
    <x v="1"/>
    <s v="changement des deux pneu ref 175/65R14"/>
    <n v="150143"/>
    <n v="120"/>
    <n v="120"/>
    <x v="172"/>
    <m/>
    <m/>
    <x v="0"/>
    <x v="0"/>
  </r>
  <r>
    <d v="2020-09-12T00:00:00"/>
    <x v="5"/>
    <x v="3"/>
    <x v="3"/>
    <x v="5"/>
    <n v="23320"/>
    <s v="fuite d'huiel"/>
    <s v="direction assisté"/>
    <x v="0"/>
    <s v="réparation du fuite d'huile de direction "/>
    <n v="150144"/>
    <n v="120"/>
    <n v="120"/>
    <x v="173"/>
    <m/>
    <m/>
    <x v="0"/>
    <x v="0"/>
  </r>
  <r>
    <d v="2020-09-12T00:00:00"/>
    <x v="23"/>
    <x v="3"/>
    <x v="6"/>
    <x v="18"/>
    <n v="23321"/>
    <s v="Entretien"/>
    <s v="vidange"/>
    <x v="0"/>
    <s v="vidange d'huile moteur 15W40_x000a_11019 km"/>
    <n v="150146"/>
    <n v="120"/>
    <n v="120"/>
    <x v="173"/>
    <m/>
    <m/>
    <x v="0"/>
    <x v="0"/>
  </r>
  <r>
    <d v="2020-09-14T00:00:00"/>
    <x v="11"/>
    <x v="3"/>
    <x v="3"/>
    <x v="11"/>
    <n v="23324"/>
    <s v="eclairage "/>
    <s v="des lampes "/>
    <x v="0"/>
    <s v="réparation d'eclairage "/>
    <n v="151551"/>
    <n v="120"/>
    <n v="120"/>
    <x v="170"/>
    <m/>
    <m/>
    <x v="0"/>
    <x v="0"/>
  </r>
  <r>
    <d v="2020-09-15T00:00:00"/>
    <x v="12"/>
    <x v="3"/>
    <x v="3"/>
    <x v="12"/>
    <n v="23323"/>
    <s v="Freinage "/>
    <s v="plaquette usée "/>
    <x v="0"/>
    <s v="changement du deux jeu de plaquettes de frein avant et arriere _x000a_"/>
    <m/>
    <n v="240"/>
    <n v="240"/>
    <x v="174"/>
    <m/>
    <m/>
    <x v="0"/>
    <x v="0"/>
  </r>
  <r>
    <d v="2020-09-16T00:00:00"/>
    <x v="2"/>
    <x v="2"/>
    <x v="2"/>
    <x v="2"/>
    <n v="23325"/>
    <s v="démarrage "/>
    <s v="battrie de démarrage "/>
    <x v="0"/>
    <s v="réparatio du probleme de démarrage et changement du battrie l5"/>
    <n v="151562"/>
    <n v="60"/>
    <n v="60"/>
    <x v="156"/>
    <m/>
    <m/>
    <x v="0"/>
    <x v="0"/>
  </r>
  <r>
    <d v="2020-09-18T00:00:00"/>
    <x v="31"/>
    <x v="0"/>
    <x v="0"/>
    <x v="23"/>
    <n v="23326"/>
    <s v="Entretien"/>
    <s v="vidange"/>
    <x v="1"/>
    <s v="vidange d'huile moteur 15w40_x000a_réparation du fuite de gasoil"/>
    <n v="151574"/>
    <n v="120"/>
    <n v="120"/>
    <x v="175"/>
    <m/>
    <m/>
    <x v="0"/>
    <x v="0"/>
  </r>
  <r>
    <d v="2020-09-19T00:00:00"/>
    <x v="8"/>
    <x v="3"/>
    <x v="6"/>
    <x v="8"/>
    <n v="23312"/>
    <s v="fuite d'huile hydraulique "/>
    <s v="boitier de direction "/>
    <x v="0"/>
    <s v="changement d'arrét d'hyuile du boitier de direction hors sté _x000a_changement du kit d'embrayage complet originale _x000a_vidange d'huile moteur et changement du filtre a huile et filtre a gasoil _x000a_711130 km"/>
    <s v="151571_x000a_151583_x000a_151587_x000a_151593_x000a_151596_x000a_151563_x000a_151145_x000a_151924"/>
    <n v="2280"/>
    <n v="3420"/>
    <x v="176"/>
    <m/>
    <m/>
    <x v="0"/>
    <x v="0"/>
  </r>
  <r>
    <d v="2020-09-19T00:00:00"/>
    <x v="30"/>
    <x v="12"/>
    <x v="24"/>
    <x v="24"/>
    <n v="23328"/>
    <s v="Entretien"/>
    <s v="vidange"/>
    <x v="0"/>
    <s v="vidange d'huile moteur et changement du filtre a air "/>
    <n v="151577"/>
    <n v="120"/>
    <n v="120"/>
    <x v="177"/>
    <m/>
    <m/>
    <x v="0"/>
    <x v="0"/>
  </r>
  <r>
    <d v="2020-09-21T00:00:00"/>
    <x v="10"/>
    <x v="1"/>
    <x v="8"/>
    <x v="10"/>
    <n v="23327"/>
    <s v="grue de levage "/>
    <s v="pompe a huile "/>
    <x v="0"/>
    <s v="Réparation du probleme de grue de levage "/>
    <n v="151573"/>
    <n v="180"/>
    <n v="180"/>
    <x v="175"/>
    <m/>
    <m/>
    <x v="0"/>
    <x v="0"/>
  </r>
  <r>
    <d v="2020-09-21T00:00:00"/>
    <x v="23"/>
    <x v="3"/>
    <x v="6"/>
    <x v="18"/>
    <n v="23329"/>
    <s v="eclairage "/>
    <s v="des lampes "/>
    <x v="0"/>
    <s v="réparation d'eclairage "/>
    <n v="151578"/>
    <n v="120"/>
    <n v="120"/>
    <x v="178"/>
    <m/>
    <m/>
    <x v="0"/>
    <x v="0"/>
  </r>
  <r>
    <d v="2020-09-21T00:00:00"/>
    <x v="17"/>
    <x v="5"/>
    <x v="11"/>
    <x v="15"/>
    <n v="23330"/>
    <s v="Freinage "/>
    <s v="huile de frein a basse niveau"/>
    <x v="0"/>
    <s v="mise a niveau d'huile de frein _x000a_réparation d'eclairage "/>
    <s v="151579_x000a_151581"/>
    <n v="30"/>
    <n v="30"/>
    <x v="178"/>
    <m/>
    <m/>
    <x v="0"/>
    <x v="0"/>
  </r>
  <r>
    <d v="2020-09-22T00:00:00"/>
    <x v="3"/>
    <x v="1"/>
    <x v="3"/>
    <x v="3"/>
    <n v="23331"/>
    <s v="pneu "/>
    <s v="usure des pneus"/>
    <x v="0"/>
    <s v="changement du deux pneu ref 295/80R22,5_x000a_paralellisme d'essieu avant "/>
    <n v="151582"/>
    <n v="240"/>
    <n v="240"/>
    <x v="179"/>
    <m/>
    <m/>
    <x v="0"/>
    <x v="0"/>
  </r>
  <r>
    <d v="2020-09-22T00:00:00"/>
    <x v="3"/>
    <x v="1"/>
    <x v="3"/>
    <x v="3"/>
    <n v="23332"/>
    <s v="temperature "/>
    <s v="tondeur du courroie usée "/>
    <x v="0"/>
    <s v="sortie hors sté pour dépannage du tondeur _x000a_changement du tondeur du courroie d'alternateur adaptable"/>
    <s v="151586_x000a_151592_x000a_151588"/>
    <n v="570"/>
    <n v="570"/>
    <x v="180"/>
    <m/>
    <m/>
    <x v="0"/>
    <x v="0"/>
  </r>
  <r>
    <d v="2020-09-23T00:00:00"/>
    <x v="15"/>
    <x v="2"/>
    <x v="10"/>
    <x v="2"/>
    <n v="23333"/>
    <s v="Entretien"/>
    <s v="mise a niveau"/>
    <x v="1"/>
    <s v="mise a niveau d'huile moeur et huile hydraulique"/>
    <s v="151586_x000a_151589"/>
    <n v="30"/>
    <n v="30"/>
    <x v="180"/>
    <m/>
    <m/>
    <x v="0"/>
    <x v="0"/>
  </r>
  <r>
    <d v="2020-09-23T00:00:00"/>
    <x v="23"/>
    <x v="3"/>
    <x v="6"/>
    <x v="18"/>
    <n v="23334"/>
    <s v="electrique "/>
    <s v="eclairage"/>
    <x v="0"/>
    <s v="réparation d'eclairage "/>
    <n v="151590"/>
    <n v="120"/>
    <n v="120"/>
    <x v="180"/>
    <m/>
    <m/>
    <x v="0"/>
    <x v="0"/>
  </r>
  <r>
    <d v="2020-09-25T00:00:00"/>
    <x v="17"/>
    <x v="5"/>
    <x v="11"/>
    <x v="15"/>
    <n v="23335"/>
    <s v="Entretien"/>
    <s v="vidange"/>
    <x v="1"/>
    <s v="vidange d'huile moteur 15W40"/>
    <n v="151902"/>
    <n v="120"/>
    <n v="120"/>
    <x v="181"/>
    <m/>
    <m/>
    <x v="0"/>
    <x v="0"/>
  </r>
  <r>
    <d v="2020-09-26T00:00:00"/>
    <x v="26"/>
    <x v="2"/>
    <x v="15"/>
    <x v="2"/>
    <n v="23337"/>
    <s v="accélérateur "/>
    <s v="cable d'accelerateur "/>
    <x v="0"/>
    <s v="changement du cable d'accélérateur "/>
    <n v="151903"/>
    <n v="180"/>
    <n v="180"/>
    <x v="148"/>
    <m/>
    <m/>
    <x v="0"/>
    <x v="0"/>
  </r>
  <r>
    <d v="2020-09-26T00:00:00"/>
    <x v="9"/>
    <x v="5"/>
    <x v="7"/>
    <x v="9"/>
    <n v="23338"/>
    <s v="Entretien"/>
    <s v="vidange"/>
    <x v="1"/>
    <s v="entretien et vidange"/>
    <n v="151904"/>
    <n v="570"/>
    <n v="570"/>
    <x v="148"/>
    <m/>
    <m/>
    <x v="0"/>
    <x v="0"/>
  </r>
  <r>
    <d v="2020-09-26T00:00:00"/>
    <x v="26"/>
    <x v="2"/>
    <x v="15"/>
    <x v="2"/>
    <n v="23342"/>
    <s v="refroidisement "/>
    <s v="pompe a eau"/>
    <x v="0"/>
    <s v="changement du pompe a eau "/>
    <n v="151910"/>
    <n v="570"/>
    <n v="570"/>
    <x v="148"/>
    <m/>
    <m/>
    <x v="0"/>
    <x v="0"/>
  </r>
  <r>
    <d v="2020-09-28T00:00:00"/>
    <x v="7"/>
    <x v="1"/>
    <x v="5"/>
    <x v="7"/>
    <n v="23341"/>
    <s v="Entretien"/>
    <s v="vidange"/>
    <x v="1"/>
    <s v="entretien et vidange"/>
    <n v="151908"/>
    <n v="60"/>
    <n v="60"/>
    <x v="182"/>
    <m/>
    <m/>
    <x v="0"/>
    <x v="0"/>
  </r>
  <r>
    <d v="2020-09-28T00:00:00"/>
    <x v="17"/>
    <x v="5"/>
    <x v="11"/>
    <x v="15"/>
    <n v="23344"/>
    <s v="carosserie "/>
    <s v="pare choc arriere "/>
    <x v="0"/>
    <s v="réparatio e peinture du face arriere "/>
    <n v="151918"/>
    <s v="3 j"/>
    <s v="3 j"/>
    <x v="183"/>
    <m/>
    <m/>
    <x v="0"/>
    <x v="0"/>
  </r>
  <r>
    <d v="2020-09-28T00:00:00"/>
    <x v="12"/>
    <x v="3"/>
    <x v="3"/>
    <x v="12"/>
    <n v="23346"/>
    <s v="Entretien"/>
    <s v="vidange"/>
    <x v="1"/>
    <s v="entretien et vidange"/>
    <m/>
    <n v="570"/>
    <n v="570"/>
    <x v="182"/>
    <m/>
    <m/>
    <x v="0"/>
    <x v="0"/>
  </r>
  <r>
    <d v="2020-09-30T00:00:00"/>
    <x v="3"/>
    <x v="1"/>
    <x v="3"/>
    <x v="3"/>
    <n v="23322"/>
    <s v="Freinage "/>
    <s v="plaquette usée "/>
    <x v="0"/>
    <s v="changement du deux jeu de plaquettes de frein avant et arriere _x000a_"/>
    <n v="151557"/>
    <n v="180"/>
    <n v="180"/>
    <x v="168"/>
    <m/>
    <m/>
    <x v="0"/>
    <x v="0"/>
  </r>
  <r>
    <d v="2020-10-01T00:00:00"/>
    <x v="27"/>
    <x v="0"/>
    <x v="0"/>
    <x v="21"/>
    <n v="23343"/>
    <s v="Entretien"/>
    <s v="vidange"/>
    <x v="1"/>
    <s v="vidange d'huile moteur et changement du filtre a huile et filtre a gasoilo et filtre a air    263510 km"/>
    <s v="151923_x000a_151913"/>
    <n v="120"/>
    <n v="120"/>
    <x v="184"/>
    <m/>
    <m/>
    <x v="0"/>
    <x v="0"/>
  </r>
  <r>
    <d v="2020-10-02T00:00:00"/>
    <x v="20"/>
    <x v="1"/>
    <x v="6"/>
    <x v="17"/>
    <n v="23347"/>
    <s v="Freinage "/>
    <s v="garniture de frein"/>
    <x v="0"/>
    <s v="changement du jeu de garniture de frein _x000a_deux tambour de frein arriere et jeu de garniture de frein avant _x000a_des arrét de graisse de moyeu arriere _x000a_plaquettes de frein avant _x000a_kit souflets de frein avant venteuse de frein arriere gauche "/>
    <s v="152181_x000a_152177_x000a_152165_x000a_152156_x000a_152930_x000a_151943"/>
    <n v="570"/>
    <n v="570"/>
    <x v="185"/>
    <m/>
    <m/>
    <x v="0"/>
    <x v="0"/>
  </r>
  <r>
    <d v="2020-10-03T00:00:00"/>
    <x v="26"/>
    <x v="2"/>
    <x v="15"/>
    <x v="2"/>
    <n v="24951"/>
    <s v="Entretien"/>
    <s v="mise a niveau"/>
    <x v="1"/>
    <s v="mise a niveau d'huile hydraulique AW68"/>
    <n v="151932"/>
    <n v="30"/>
    <n v="30"/>
    <x v="186"/>
    <m/>
    <m/>
    <x v="0"/>
    <x v="0"/>
  </r>
  <r>
    <d v="2020-10-04T00:00:00"/>
    <x v="35"/>
    <x v="2"/>
    <x v="13"/>
    <x v="2"/>
    <n v="23348"/>
    <s v="démarrage "/>
    <s v="probleme elctronique "/>
    <x v="0"/>
    <s v="diagnostique d'engin"/>
    <n v="151"/>
    <n v="180"/>
    <n v="180"/>
    <x v="187"/>
    <m/>
    <m/>
    <x v="0"/>
    <x v="0"/>
  </r>
  <r>
    <d v="2020-10-04T00:00:00"/>
    <x v="17"/>
    <x v="5"/>
    <x v="11"/>
    <x v="15"/>
    <n v="24952"/>
    <s v="eclairage "/>
    <s v="des lampes "/>
    <x v="0"/>
    <s v="réparation d'eclairage "/>
    <n v="151933"/>
    <n v="30"/>
    <n v="30"/>
    <x v="187"/>
    <m/>
    <m/>
    <x v="0"/>
    <x v="0"/>
  </r>
  <r>
    <d v="2020-10-04T00:00:00"/>
    <x v="29"/>
    <x v="2"/>
    <x v="16"/>
    <x v="2"/>
    <n v="24953"/>
    <s v="charge du battrie "/>
    <s v="courroie d'alternateur "/>
    <x v="0"/>
    <s v="changement du ourroie d'alternateur ce charge battrie "/>
    <s v="151934_x000a_151942"/>
    <n v="120"/>
    <n v="120"/>
    <x v="187"/>
    <m/>
    <m/>
    <x v="0"/>
    <x v="0"/>
  </r>
  <r>
    <d v="2020-10-08T00:00:00"/>
    <x v="16"/>
    <x v="1"/>
    <x v="5"/>
    <x v="14"/>
    <n v="24954"/>
    <s v="affichage des lampes "/>
    <s v="thermocontact "/>
    <x v="3"/>
    <s v="changement du thermocontact de temperature de liquide de refroidissement _x000a_et claxon babouch 24 V_x000a_vidange d'huile moteur 15W40"/>
    <n v="152151"/>
    <n v="180"/>
    <n v="180"/>
    <x v="188"/>
    <m/>
    <m/>
    <x v="0"/>
    <x v="0"/>
  </r>
  <r>
    <d v="2020-10-08T00:00:00"/>
    <x v="3"/>
    <x v="1"/>
    <x v="3"/>
    <x v="3"/>
    <n v="24960"/>
    <s v="suspension"/>
    <s v="boulon d'assemblage "/>
    <x v="0"/>
    <s v="réparation des element de susponsion "/>
    <n v="152170"/>
    <n v="570"/>
    <n v="570"/>
    <x v="189"/>
    <m/>
    <m/>
    <x v="0"/>
    <x v="0"/>
  </r>
  <r>
    <d v="2020-10-09T00:00:00"/>
    <x v="13"/>
    <x v="1"/>
    <x v="5"/>
    <x v="13"/>
    <n v="23340"/>
    <s v="eclairage "/>
    <s v="des lampes "/>
    <x v="0"/>
    <s v="réparation d'clairage "/>
    <n v="152152"/>
    <n v="30"/>
    <n v="30"/>
    <x v="189"/>
    <m/>
    <m/>
    <x v="0"/>
    <x v="0"/>
  </r>
  <r>
    <d v="2020-10-10T00:00:00"/>
    <x v="12"/>
    <x v="3"/>
    <x v="3"/>
    <x v="12"/>
    <n v="23339"/>
    <s v="pneu "/>
    <s v="usure des pneus"/>
    <x v="0"/>
    <s v="changement du 4 pneus ref 315/80R22,5"/>
    <n v="152155"/>
    <n v="180"/>
    <n v="180"/>
    <x v="190"/>
    <m/>
    <m/>
    <x v="0"/>
    <x v="0"/>
  </r>
  <r>
    <d v="2020-10-11T00:00:00"/>
    <x v="21"/>
    <x v="2"/>
    <x v="13"/>
    <x v="2"/>
    <n v="24987"/>
    <s v="Entretien"/>
    <s v="fuite d'huile "/>
    <x v="0"/>
    <s v="réparation du b fuite d'huile hydraulique "/>
    <n v="154158"/>
    <n v="180"/>
    <n v="180"/>
    <x v="191"/>
    <m/>
    <m/>
    <x v="0"/>
    <x v="0"/>
  </r>
  <r>
    <d v="2020-10-12T00:00:00"/>
    <x v="21"/>
    <x v="2"/>
    <x v="13"/>
    <x v="2"/>
    <n v="24959"/>
    <s v="entretien"/>
    <s v="vidange"/>
    <x v="1"/>
    <s v="vidange d'huile moteur lavage et graissage d'engin _x000a_34548 h "/>
    <n v="152161"/>
    <n v="60"/>
    <n v="60"/>
    <x v="192"/>
    <m/>
    <m/>
    <x v="0"/>
    <x v="0"/>
  </r>
  <r>
    <d v="2020-10-13T00:00:00"/>
    <x v="26"/>
    <x v="2"/>
    <x v="15"/>
    <x v="2"/>
    <n v="24958"/>
    <s v="entretien"/>
    <s v="vidange"/>
    <x v="0"/>
    <s v="vidange d'huile moteur et changement du filtre a huile et filtre a air et filtre a gasoil_x000a_79 h"/>
    <n v="152162"/>
    <n v="180"/>
    <n v="180"/>
    <x v="193"/>
    <m/>
    <m/>
    <x v="0"/>
    <x v="0"/>
  </r>
  <r>
    <d v="2020-10-14T00:00:00"/>
    <x v="23"/>
    <x v="3"/>
    <x v="6"/>
    <x v="18"/>
    <n v="23349"/>
    <s v="des vitesses "/>
    <s v="prob du boite de vitesse "/>
    <x v="0"/>
    <s v="réparation du probleme de boite de vitesse _x000a_et changement du trois jeu de sinchroniseur et disque d'embrayage et réparation des fuites d'air et du pare choc avant _x000a_accidenté _x000a_vidange d'huile du boite de vitesse "/>
    <s v="152497_x000a_152490_x000a_152493_x000a_152484_x000a_152483_x000a_152478_x000a_152485_x000a_152472_x000a_152175"/>
    <n v="4520"/>
    <n v="15960"/>
    <x v="194"/>
    <m/>
    <m/>
    <x v="0"/>
    <x v="0"/>
  </r>
  <r>
    <d v="2020-10-14T00:00:00"/>
    <x v="11"/>
    <x v="3"/>
    <x v="3"/>
    <x v="11"/>
    <n v="24956"/>
    <s v="eclairage "/>
    <s v="des lampes "/>
    <x v="0"/>
    <s v="réparation d'eclairage "/>
    <n v="152167"/>
    <n v="60"/>
    <n v="60"/>
    <x v="195"/>
    <m/>
    <m/>
    <x v="0"/>
    <x v="0"/>
  </r>
  <r>
    <d v="2020-10-14T00:00:00"/>
    <x v="12"/>
    <x v="3"/>
    <x v="3"/>
    <x v="12"/>
    <n v="24957"/>
    <s v="eclairage "/>
    <s v="des lampes "/>
    <x v="0"/>
    <s v="réparation d'eclairage "/>
    <n v="152164"/>
    <n v="120"/>
    <n v="120"/>
    <x v="195"/>
    <m/>
    <m/>
    <x v="0"/>
    <x v="0"/>
  </r>
  <r>
    <d v="2020-10-14T00:00:00"/>
    <x v="7"/>
    <x v="1"/>
    <x v="5"/>
    <x v="7"/>
    <n v="24962"/>
    <s v="carosserie "/>
    <s v="vitre avant "/>
    <x v="0"/>
    <s v="réparation  et changement du deux mecanisme de leve gllace du porte de cabine et changement du vitre du porte avant gauche _x000a_ et du deux poignet de levege vitre _x000a_réparation d'alternateur de charge battrie "/>
    <s v="152172_x000a_152180"/>
    <n v="1140"/>
    <n v="1140"/>
    <x v="196"/>
    <m/>
    <m/>
    <x v="0"/>
    <x v="0"/>
  </r>
  <r>
    <d v="2020-10-15T00:00:00"/>
    <x v="10"/>
    <x v="1"/>
    <x v="8"/>
    <x v="10"/>
    <n v="24955"/>
    <s v="entretien"/>
    <s v="vidange"/>
    <x v="0"/>
    <s v="VIDANGE D4HUILE MOTEUR 15w40_x000a_SOUFLAGE DU FILTR A AIR _x000a_vidange d'huile de boite de vitesse _x000a_vidnge d'huile de pont arriere "/>
    <n v="152169"/>
    <n v="180"/>
    <n v="180"/>
    <x v="196"/>
    <n v="1"/>
    <m/>
    <x v="0"/>
    <x v="0"/>
  </r>
  <r>
    <d v="2020-10-15T00:00:00"/>
    <x v="8"/>
    <x v="3"/>
    <x v="6"/>
    <x v="8"/>
    <n v="24961"/>
    <s v="eclairage "/>
    <s v="des lampes "/>
    <x v="0"/>
    <s v="réparation declairage "/>
    <n v="152171"/>
    <n v="30"/>
    <n v="30"/>
    <x v="196"/>
    <m/>
    <m/>
    <x v="0"/>
    <x v="0"/>
  </r>
  <r>
    <d v="2020-10-16T00:00:00"/>
    <x v="15"/>
    <x v="2"/>
    <x v="10"/>
    <x v="2"/>
    <n v="24963"/>
    <s v="arrét du moteur "/>
    <s v="solinoide d'arrét moteur "/>
    <x v="0"/>
    <s v="cangement du solinoide d'arrét moteur et du deux cosses battrie "/>
    <n v="152173"/>
    <n v="180"/>
    <n v="180"/>
    <x v="197"/>
    <m/>
    <m/>
    <x v="0"/>
    <x v="0"/>
  </r>
  <r>
    <d v="2020-10-16T00:00:00"/>
    <x v="24"/>
    <x v="0"/>
    <x v="0"/>
    <x v="19"/>
    <n v="24964"/>
    <s v="Freinage "/>
    <s v="des plaquettes "/>
    <x v="0"/>
    <s v="changement du deux jeu de plaquette de frein avant et arriere"/>
    <s v="152174_x000a_154732"/>
    <n v="570"/>
    <n v="570"/>
    <x v="197"/>
    <m/>
    <m/>
    <x v="0"/>
    <x v="0"/>
  </r>
  <r>
    <d v="2020-10-16T00:00:00"/>
    <x v="0"/>
    <x v="0"/>
    <x v="0"/>
    <x v="0"/>
    <n v="24970"/>
    <s v="Echauffement "/>
    <s v="joint culasse "/>
    <x v="0"/>
    <s v="changement du radiateur _x000a_cable d'embrayage courroie _x000a_courroie d'alternateur _x000a_moteur tharmique achat bon occasion _x000a_fourchette d'embrayage et butée d'embrayage et arrét d'huile cardon _x000a_vidange d'huile moteur _x000a_            km"/>
    <m/>
    <m/>
    <s v=""/>
    <x v="57"/>
    <m/>
    <m/>
    <x v="0"/>
    <x v="0"/>
  </r>
  <r>
    <d v="2020-10-16T00:00:00"/>
    <x v="4"/>
    <x v="1"/>
    <x v="3"/>
    <x v="4"/>
    <n v="24977"/>
    <s v="Entretien"/>
    <s v="vidange"/>
    <x v="0"/>
    <s v="vidange et entretien systematique _x000a_montage du pistolet d souflage et netoyage "/>
    <n v="152457"/>
    <n v="570"/>
    <n v="570"/>
    <x v="197"/>
    <m/>
    <m/>
    <x v="0"/>
    <x v="0"/>
  </r>
  <r>
    <d v="2020-10-19T00:00:00"/>
    <x v="3"/>
    <x v="1"/>
    <x v="3"/>
    <x v="3"/>
    <n v="24978"/>
    <s v="Entretien"/>
    <s v="vidange"/>
    <x v="0"/>
    <s v="vidange et ventretien systematique "/>
    <n v="152479"/>
    <n v="570"/>
    <n v="570"/>
    <x v="185"/>
    <m/>
    <m/>
    <x v="0"/>
    <x v="0"/>
  </r>
  <r>
    <d v="2020-10-20T00:00:00"/>
    <x v="29"/>
    <x v="2"/>
    <x v="16"/>
    <x v="2"/>
    <n v="24966"/>
    <s v="Entretien"/>
    <s v="mise a niveau"/>
    <x v="1"/>
    <s v="mise a niveau d'huile moteur et huile hydraulique "/>
    <n v="152186"/>
    <n v="30"/>
    <n v="30"/>
    <x v="198"/>
    <m/>
    <m/>
    <x v="0"/>
    <x v="0"/>
  </r>
  <r>
    <d v="2020-10-20T00:00:00"/>
    <x v="5"/>
    <x v="3"/>
    <x v="3"/>
    <x v="5"/>
    <n v="24968"/>
    <s v="ai comprimée"/>
    <s v="basse pression"/>
    <x v="0"/>
    <s v="changement du compresseur d'air comprimée _x000a_réparation d'eclairage et changement des lampes _x000a_changement du pare choc arriere _x000a_deux flexible spirale d'air de plateau _x000a_deux main d'acoupplement _x000a_flacheur 24 Vjeu du balai d'essuie glace "/>
    <s v="152190_x000a_152192_x000a_152194_x000a_152194_x000a_152195_x000a_152453_x000a_152456_x000a_152454"/>
    <n v="4560"/>
    <n v="7410"/>
    <x v="199"/>
    <m/>
    <m/>
    <x v="0"/>
    <x v="0"/>
  </r>
  <r>
    <d v="2020-10-21T00:00:00"/>
    <x v="18"/>
    <x v="1"/>
    <x v="5"/>
    <x v="16"/>
    <n v="24967"/>
    <s v="eclairage "/>
    <s v="des lampes "/>
    <x v="0"/>
    <s v="réparation declairage "/>
    <n v="152187"/>
    <n v="120"/>
    <n v="120"/>
    <x v="200"/>
    <m/>
    <m/>
    <x v="0"/>
    <x v="0"/>
  </r>
  <r>
    <d v="2020-10-23T00:00:00"/>
    <x v="16"/>
    <x v="1"/>
    <x v="5"/>
    <x v="14"/>
    <n v="24969"/>
    <s v="eclairage "/>
    <s v="des lampes "/>
    <x v="0"/>
    <s v="réparation declairage "/>
    <n v="152193"/>
    <n v="120"/>
    <n v="120"/>
    <x v="201"/>
    <m/>
    <m/>
    <x v="0"/>
    <x v="0"/>
  </r>
  <r>
    <d v="2020-10-27T00:00:00"/>
    <x v="9"/>
    <x v="5"/>
    <x v="7"/>
    <x v="9"/>
    <n v="24971"/>
    <s v="Entretien"/>
    <s v="vidange"/>
    <x v="1"/>
    <s v="vidange d'huile moteur 15w40"/>
    <m/>
    <m/>
    <s v=""/>
    <x v="57"/>
    <m/>
    <m/>
    <x v="0"/>
    <x v="0"/>
  </r>
  <r>
    <d v="2020-10-28T00:00:00"/>
    <x v="19"/>
    <x v="7"/>
    <x v="12"/>
    <x v="2"/>
    <n v="24972"/>
    <s v="Entretien"/>
    <s v="mise a niveau"/>
    <x v="1"/>
    <s v="mise a niveau d'huile hydraulique AW68"/>
    <m/>
    <m/>
    <s v=""/>
    <x v="57"/>
    <m/>
    <m/>
    <x v="0"/>
    <x v="0"/>
  </r>
  <r>
    <d v="2020-10-31T00:00:00"/>
    <x v="10"/>
    <x v="1"/>
    <x v="8"/>
    <x v="10"/>
    <n v="24973"/>
    <s v="grue de levage "/>
    <s v="distributeur hydraulique "/>
    <x v="0"/>
    <s v="réparation du distributeur hydraulique et grue de levage _x000a_vidange d'huile moteur et lavage graissage _x000a_réparation d&quot;eclairage "/>
    <s v="152469_x000a_152466_x000a_152463"/>
    <n v="1140"/>
    <n v="1140"/>
    <x v="202"/>
    <m/>
    <m/>
    <x v="0"/>
    <x v="0"/>
  </r>
  <r>
    <d v="2020-11-02T00:00:00"/>
    <x v="3"/>
    <x v="1"/>
    <x v="3"/>
    <x v="3"/>
    <n v="24974"/>
    <s v="Tachygraphe"/>
    <s v="renouvlement "/>
    <x v="0"/>
    <s v="renouvlement det réparation du tachygraphe "/>
    <n v="152470"/>
    <n v="120"/>
    <n v="120"/>
    <x v="202"/>
    <m/>
    <m/>
    <x v="0"/>
    <x v="0"/>
  </r>
  <r>
    <d v="2020-11-02T00:00:00"/>
    <x v="9"/>
    <x v="5"/>
    <x v="7"/>
    <x v="9"/>
    <n v="24976"/>
    <s v="Tachygraphe"/>
    <s v="renouvlement "/>
    <x v="0"/>
    <s v="renouvlement du certificat de tachygraphe"/>
    <n v="152471"/>
    <n v="120"/>
    <n v="120"/>
    <x v="202"/>
    <m/>
    <m/>
    <x v="0"/>
    <x v="0"/>
  </r>
  <r>
    <d v="2020-11-09T00:00:00"/>
    <x v="7"/>
    <x v="1"/>
    <x v="5"/>
    <x v="7"/>
    <n v="24980"/>
    <s v="Entretien"/>
    <s v="vidange"/>
    <x v="0"/>
    <s v="vidange d'huile moteur 15W40_x000a_vidange du boite de vitesse _x000a_vidange d'huile du pont arriere _x000a_457450 km"/>
    <m/>
    <m/>
    <s v=""/>
    <x v="57"/>
    <m/>
    <m/>
    <x v="0"/>
    <x v="0"/>
  </r>
  <r>
    <d v="2020-11-10T00:00:00"/>
    <x v="14"/>
    <x v="6"/>
    <x v="9"/>
    <x v="2"/>
    <n v="24981"/>
    <s v="godet de netoyage "/>
    <s v="fixation "/>
    <x v="0"/>
    <s v="réparation du fixtaion de godet de netoayage "/>
    <n v="152496"/>
    <n v="570"/>
    <n v="570"/>
    <x v="203"/>
    <m/>
    <m/>
    <x v="0"/>
    <x v="0"/>
  </r>
  <r>
    <d v="2020-11-10T00:00:00"/>
    <x v="17"/>
    <x v="5"/>
    <x v="11"/>
    <x v="15"/>
    <n v="24982"/>
    <s v="démarrage "/>
    <s v="battrie de démarrage "/>
    <x v="0"/>
    <s v="changement du deux battrie de démarrage L11 12V"/>
    <n v="156153"/>
    <n v="120"/>
    <n v="120"/>
    <x v="203"/>
    <m/>
    <m/>
    <x v="0"/>
    <x v="0"/>
  </r>
  <r>
    <d v="2020-11-10T00:00:00"/>
    <x v="29"/>
    <x v="2"/>
    <x v="16"/>
    <x v="2"/>
    <n v="24983"/>
    <s v="Entretien"/>
    <s v="vidange"/>
    <x v="0"/>
    <s v="Vidange d'huile moteur 15W40_x000a_changement du filtre a huile et filtre a gasoil_x000a_lavage et netoyyage generale d'engin _x000a_224466 km"/>
    <m/>
    <m/>
    <s v=""/>
    <x v="57"/>
    <m/>
    <m/>
    <x v="0"/>
    <x v="0"/>
  </r>
  <r>
    <d v="2020-11-10T00:00:00"/>
    <x v="3"/>
    <x v="1"/>
    <x v="3"/>
    <x v="3"/>
    <n v="24984"/>
    <s v="eclairage "/>
    <s v="des lampes "/>
    <x v="0"/>
    <s v="réparation d'eclairage "/>
    <n v="154155"/>
    <n v="120"/>
    <n v="120"/>
    <x v="203"/>
    <m/>
    <m/>
    <x v="0"/>
    <x v="0"/>
  </r>
  <r>
    <d v="2020-11-10T00:00:00"/>
    <x v="16"/>
    <x v="1"/>
    <x v="5"/>
    <x v="14"/>
    <n v="24985"/>
    <s v="Entretien"/>
    <s v="vidange"/>
    <x v="1"/>
    <s v="vidange d'huile moteur 15W40_x000a_lavaget et netoyyage d'engin _x000a_557594 km"/>
    <n v="154156"/>
    <n v="120"/>
    <n v="120"/>
    <x v="203"/>
    <m/>
    <m/>
    <x v="0"/>
    <x v="0"/>
  </r>
  <r>
    <d v="2020-11-10T00:00:00"/>
    <x v="15"/>
    <x v="2"/>
    <x v="10"/>
    <x v="2"/>
    <n v="24986"/>
    <s v="Entretien"/>
    <s v="vidange"/>
    <x v="0"/>
    <s v="vidange d'huile moteur et changement du filtre a air _x000a_lavage et graissage generale d'engin _x000a_7619 h"/>
    <n v="154157"/>
    <m/>
    <n v="110012"/>
    <x v="57"/>
    <m/>
    <m/>
    <x v="0"/>
    <x v="0"/>
  </r>
  <r>
    <d v="2020-11-11T00:00:00"/>
    <x v="1"/>
    <x v="1"/>
    <x v="1"/>
    <x v="1"/>
    <n v="24988"/>
    <s v="démarrage "/>
    <s v="battrie de démarrage "/>
    <x v="0"/>
    <s v="changement du battrie de démarrage l3_x000a_é(récupere sous garantie )"/>
    <n v="154159"/>
    <n v="120"/>
    <n v="120"/>
    <x v="191"/>
    <m/>
    <m/>
    <x v="0"/>
    <x v="0"/>
  </r>
  <r>
    <d v="2020-11-11T00:00:00"/>
    <x v="3"/>
    <x v="1"/>
    <x v="3"/>
    <x v="3"/>
    <n v="24990"/>
    <s v="eclairage "/>
    <s v="des lampes "/>
    <x v="0"/>
    <s v="réparation d'eclairage "/>
    <n v="154161"/>
    <m/>
    <n v="110015"/>
    <x v="57"/>
    <m/>
    <m/>
    <x v="0"/>
    <x v="0"/>
  </r>
  <r>
    <d v="2020-11-11T00:00:00"/>
    <x v="8"/>
    <x v="3"/>
    <x v="6"/>
    <x v="8"/>
    <n v="24991"/>
    <s v="Entretien"/>
    <s v="vidange"/>
    <x v="0"/>
    <s v="viange d'huile moteur 15W40_x000a_ et réparation d&quot;clairage _x000a_722265 km"/>
    <n v="154162"/>
    <n v="180"/>
    <n v="180"/>
    <x v="191"/>
    <m/>
    <m/>
    <x v="0"/>
    <x v="0"/>
  </r>
  <r>
    <d v="2020-11-12T00:00:00"/>
    <x v="11"/>
    <x v="3"/>
    <x v="3"/>
    <x v="11"/>
    <n v="24979"/>
    <s v="Freinage "/>
    <s v="plaquette de frerin"/>
    <x v="0"/>
    <s v="changemùent du deux jeu de plaquette  de frein _x000a_pour tracteur avant et arriére _x000a_réparation d'eclairage "/>
    <s v="152482_x000a_152485"/>
    <n v="570"/>
    <n v="570"/>
    <x v="194"/>
    <m/>
    <m/>
    <x v="0"/>
    <x v="0"/>
  </r>
  <r>
    <d v="2020-11-12T00:00:00"/>
    <x v="9"/>
    <x v="5"/>
    <x v="7"/>
    <x v="9"/>
    <n v="24993"/>
    <s v="pneu "/>
    <s v="usure des pneus"/>
    <x v="0"/>
    <s v="changement du deux pneu ref 205/75R17,5"/>
    <n v="154166"/>
    <n v="570"/>
    <n v="570"/>
    <x v="194"/>
    <m/>
    <m/>
    <x v="0"/>
    <x v="0"/>
  </r>
  <r>
    <d v="2020-11-12T00:00:00"/>
    <x v="30"/>
    <x v="9"/>
    <x v="24"/>
    <x v="24"/>
    <n v="24994"/>
    <s v="pneu "/>
    <s v="usure des pneus"/>
    <x v="0"/>
    <s v="changement du deux pneu ref 285/40R22_x000a_pour voiture du mr adil AUDI Q8"/>
    <n v="154167"/>
    <n v="570"/>
    <n v="570"/>
    <x v="194"/>
    <m/>
    <m/>
    <x v="0"/>
    <x v="0"/>
  </r>
  <r>
    <d v="2020-11-13T00:00:00"/>
    <x v="19"/>
    <x v="7"/>
    <x v="12"/>
    <x v="2"/>
    <n v="24995"/>
    <s v="Entretien"/>
    <s v="mise a niveau"/>
    <x v="0"/>
    <s v="mise a niveau d'huile hydraulique _x000a_réparation du fuite d'huile "/>
    <n v="154172"/>
    <n v="120"/>
    <n v="120"/>
    <x v="194"/>
    <m/>
    <m/>
    <x v="0"/>
    <x v="0"/>
  </r>
  <r>
    <d v="2020-11-14T00:00:00"/>
    <x v="22"/>
    <x v="2"/>
    <x v="14"/>
    <x v="2"/>
    <n v="23512"/>
    <s v="pneu "/>
    <s v="pneu percé"/>
    <x v="0"/>
    <s v="changement du deux pneu ref 1106 R16 _x000a_achat bon occasion _x000a_réparation d'eclairage "/>
    <n v="154563"/>
    <n v="180"/>
    <n v="5700"/>
    <x v="204"/>
    <m/>
    <m/>
    <x v="0"/>
    <x v="0"/>
  </r>
  <r>
    <d v="2020-11-15T00:00:00"/>
    <x v="29"/>
    <x v="2"/>
    <x v="16"/>
    <x v="2"/>
    <n v="24998"/>
    <s v="fuite d'huile hydraulique "/>
    <s v="pompe d'huile "/>
    <x v="0"/>
    <s v="réparatio  du fuite d'huile et changement du pompe d'eau +arrét d'huile moteur avant et arriere _x000a_4 silent bloc du cabine _x000a_3 kit de réparation verin de levage et débouchage et reinssage du radiateur 8 galet de rampe vidange d'huile moteur _x000a_     22495    h"/>
    <s v="154180_x000a_154182_x000a_154191_x000a_154185_x000a_154183"/>
    <n v="3990"/>
    <n v="5310"/>
    <x v="205"/>
    <m/>
    <m/>
    <x v="0"/>
    <x v="0"/>
  </r>
  <r>
    <d v="2020-11-16T00:00:00"/>
    <x v="17"/>
    <x v="5"/>
    <x v="11"/>
    <x v="15"/>
    <n v="24996"/>
    <s v="eclairage "/>
    <s v="des lampes "/>
    <x v="0"/>
    <s v="changement de lampes et réparation d'eclairage "/>
    <n v="154176"/>
    <n v="180"/>
    <n v="180"/>
    <x v="206"/>
    <m/>
    <m/>
    <x v="0"/>
    <x v="0"/>
  </r>
  <r>
    <d v="2020-11-16T00:00:00"/>
    <x v="19"/>
    <x v="7"/>
    <x v="12"/>
    <x v="2"/>
    <n v="24997"/>
    <s v="eclairage "/>
    <s v="des lampes "/>
    <x v="0"/>
    <s v="réparation d'eclairage "/>
    <n v="154177"/>
    <n v="120"/>
    <n v="120"/>
    <x v="206"/>
    <m/>
    <m/>
    <x v="0"/>
    <x v="0"/>
  </r>
  <r>
    <d v="2020-11-17T00:00:00"/>
    <x v="7"/>
    <x v="1"/>
    <x v="5"/>
    <x v="7"/>
    <n v="24999"/>
    <s v="Entretien"/>
    <s v="vidange"/>
    <x v="1"/>
    <s v="vidange d'huile de boite de vitesse"/>
    <n v="154181"/>
    <n v="120"/>
    <n v="120"/>
    <x v="207"/>
    <m/>
    <m/>
    <x v="0"/>
    <x v="0"/>
  </r>
  <r>
    <d v="2020-11-17T00:00:00"/>
    <x v="3"/>
    <x v="1"/>
    <x v="3"/>
    <x v="3"/>
    <n v="23501"/>
    <s v="electrique "/>
    <s v="des lampes "/>
    <x v="0"/>
    <s v="réparation d'eclairage "/>
    <n v="154184"/>
    <n v="120"/>
    <n v="120"/>
    <x v="207"/>
    <m/>
    <m/>
    <x v="0"/>
    <x v="0"/>
  </r>
  <r>
    <d v="2020-11-19T00:00:00"/>
    <x v="17"/>
    <x v="5"/>
    <x v="11"/>
    <x v="15"/>
    <n v="23502"/>
    <s v="carosserie "/>
    <s v="rétroveseur endommagé"/>
    <x v="0"/>
    <s v="changemlent u rétroveseur coté droite _x000a_renouvlement du certificat de tachygraphe"/>
    <n v="1554188"/>
    <n v="120"/>
    <n v="120"/>
    <x v="78"/>
    <m/>
    <m/>
    <x v="0"/>
    <x v="0"/>
  </r>
  <r>
    <d v="2020-11-19T00:00:00"/>
    <x v="28"/>
    <x v="2"/>
    <x v="13"/>
    <x v="2"/>
    <n v="23504"/>
    <s v="Entretien"/>
    <s v="vidange"/>
    <x v="1"/>
    <s v="vidange d'huile moteur _x000a_mise a niveau d'huile hydraulique _x000a_24737 h"/>
    <n v="154190"/>
    <n v="60"/>
    <n v="60"/>
    <x v="78"/>
    <m/>
    <m/>
    <x v="0"/>
    <x v="0"/>
  </r>
  <r>
    <d v="2020-11-20T00:00:00"/>
    <x v="15"/>
    <x v="2"/>
    <x v="10"/>
    <x v="2"/>
    <n v="23506"/>
    <s v="Entretien"/>
    <s v="mise a niveau"/>
    <x v="1"/>
    <s v="mise a niveau d'huile hydraulkique "/>
    <n v="154193"/>
    <n v="30"/>
    <n v="30"/>
    <x v="208"/>
    <m/>
    <m/>
    <x v="0"/>
    <x v="0"/>
  </r>
  <r>
    <d v="2020-11-24T00:00:00"/>
    <x v="9"/>
    <x v="5"/>
    <x v="7"/>
    <x v="9"/>
    <n v="23511"/>
    <s v="Entretien"/>
    <s v="vidange"/>
    <x v="1"/>
    <s v="vidange d'huile moteur et changement _x000a_du filtre a huile 2631145010_x000a_ filtre a air 281304H002_x000a_ filtre a gasoil3194541002_x000a_55769  km"/>
    <n v="154560"/>
    <n v="120"/>
    <n v="120"/>
    <x v="204"/>
    <m/>
    <m/>
    <x v="0"/>
    <x v="0"/>
  </r>
  <r>
    <d v="2020-11-26T00:00:00"/>
    <x v="4"/>
    <x v="1"/>
    <x v="3"/>
    <x v="4"/>
    <n v="23513"/>
    <s v="eclairage "/>
    <s v="des lampes "/>
    <x v="0"/>
    <s v="réparation d'eclairage"/>
    <n v="154571"/>
    <n v="120"/>
    <n v="120"/>
    <x v="209"/>
    <m/>
    <m/>
    <x v="0"/>
    <x v="0"/>
  </r>
  <r>
    <d v="2020-11-26T00:00:00"/>
    <x v="27"/>
    <x v="0"/>
    <x v="0"/>
    <x v="21"/>
    <n v="23514"/>
    <s v="moteur"/>
    <s v="des courroies "/>
    <x v="0"/>
    <s v="changement du jeu des courroies d'accessoires ave tondeur s_x000a_changement du jeu du courroie de distribution avec tondeurs _x000a_271548 km"/>
    <n v="154574"/>
    <n v="570"/>
    <n v="570"/>
    <x v="209"/>
    <m/>
    <m/>
    <x v="0"/>
    <x v="0"/>
  </r>
  <r>
    <d v="2020-11-27T00:00:00"/>
    <x v="18"/>
    <x v="1"/>
    <x v="5"/>
    <x v="16"/>
    <n v="23515"/>
    <s v="pneu "/>
    <s v="usure des pneus"/>
    <x v="0"/>
    <s v="changement du deu pneu ref 12R22,5_x000a_HDA02166C_x000a_HDA05386C_x000a_789225 KM"/>
    <n v="154576"/>
    <n v="120"/>
    <n v="120"/>
    <x v="210"/>
    <m/>
    <m/>
    <x v="0"/>
    <x v="0"/>
  </r>
  <r>
    <d v="2020-11-30T00:00:00"/>
    <x v="17"/>
    <x v="5"/>
    <x v="11"/>
    <x v="15"/>
    <n v="23514"/>
    <s v="entretien"/>
    <s v="vidange"/>
    <x v="1"/>
    <s v="vidange d'huile moteur et changement _x000a_du filtre a huile 2631145010_x000a_ filtre a air 281304H002_x000a_ filtre a gasoil3194541002_x000a_102404  km"/>
    <m/>
    <m/>
    <s v=""/>
    <x v="57"/>
    <m/>
    <m/>
    <x v="0"/>
    <x v="0"/>
  </r>
  <r>
    <d v="2020-12-01T00:00:00"/>
    <x v="1"/>
    <x v="1"/>
    <x v="1"/>
    <x v="1"/>
    <n v="23516"/>
    <s v="embrayage "/>
    <s v="pompe d'embrayage "/>
    <x v="0"/>
    <s v="chagnement du piece de rapeelle pompe d'embrayage "/>
    <n v="1554589"/>
    <n v="570"/>
    <n v="1145"/>
    <x v="211"/>
    <m/>
    <m/>
    <x v="0"/>
    <x v="0"/>
  </r>
  <r>
    <d v="2020-12-01T00:00:00"/>
    <x v="5"/>
    <x v="3"/>
    <x v="3"/>
    <x v="5"/>
    <n v="23971"/>
    <s v="fuite d'air"/>
    <s v="appareille d'air "/>
    <x v="0"/>
    <s v="changement d'appareille d'air comprimé"/>
    <n v="154722"/>
    <n v="240"/>
    <n v="240"/>
    <x v="212"/>
    <m/>
    <m/>
    <x v="0"/>
    <x v="0"/>
  </r>
  <r>
    <d v="2020-12-02T00:00:00"/>
    <x v="2"/>
    <x v="2"/>
    <x v="2"/>
    <x v="2"/>
    <n v="23972"/>
    <s v="Entretien"/>
    <s v="vidange"/>
    <x v="1"/>
    <s v="vidange d'huile moteur 15W40"/>
    <n v="154723"/>
    <n v="180"/>
    <n v="180"/>
    <x v="212"/>
    <m/>
    <m/>
    <x v="0"/>
    <x v="0"/>
  </r>
  <r>
    <d v="2020-12-02T00:00:00"/>
    <x v="12"/>
    <x v="3"/>
    <x v="23"/>
    <x v="12"/>
    <n v="23973"/>
    <s v="pneu "/>
    <s v="usure des pneus"/>
    <x v="0"/>
    <s v="changement du quatre pneu ref 315/80R22,5_x000a_vidange t entretien systematique _x000a_215129 km"/>
    <n v="154725"/>
    <n v="120"/>
    <n v="120"/>
    <x v="212"/>
    <m/>
    <m/>
    <x v="0"/>
    <x v="0"/>
  </r>
  <r>
    <d v="2020-12-04T00:00:00"/>
    <x v="23"/>
    <x v="3"/>
    <x v="6"/>
    <x v="18"/>
    <n v="23523"/>
    <s v="Transmission"/>
    <s v="boite vitesse "/>
    <x v="0"/>
    <s v="changement du synchroniseur du GV_x000a_récuperé du sté INTERAGREGAT _x000a_vidange d'huile de boite de vitesse "/>
    <n v="155811"/>
    <n v="1710"/>
    <n v="2850"/>
    <x v="213"/>
    <m/>
    <m/>
    <x v="0"/>
    <x v="0"/>
  </r>
  <r>
    <d v="2020-12-05T00:00:00"/>
    <x v="10"/>
    <x v="1"/>
    <x v="8"/>
    <x v="10"/>
    <n v="23974"/>
    <s v="Tachygraphe"/>
    <s v="achat"/>
    <x v="0"/>
    <s v="achat du tachygraphe pour montage on cat de réparation"/>
    <n v="154738"/>
    <n v="2"/>
    <n v="2"/>
    <x v="211"/>
    <m/>
    <m/>
    <x v="0"/>
    <x v="0"/>
  </r>
  <r>
    <d v="2020-12-05T00:00:00"/>
    <x v="18"/>
    <x v="1"/>
    <x v="5"/>
    <x v="16"/>
    <n v="23975"/>
    <s v="Entretien"/>
    <s v="vidange"/>
    <x v="1"/>
    <s v="vidange d'huile moteur 15W40_x000a_797485 km"/>
    <n v="154740"/>
    <n v="60"/>
    <n v="60"/>
    <x v="211"/>
    <m/>
    <m/>
    <x v="0"/>
    <x v="0"/>
  </r>
  <r>
    <d v="2020-12-05T00:00:00"/>
    <x v="15"/>
    <x v="2"/>
    <x v="10"/>
    <x v="2"/>
    <n v="23979"/>
    <s v="fuite d'huile hydraulique "/>
    <s v="flexible percé"/>
    <x v="0"/>
    <s v="réparation du flexible percé "/>
    <n v="156309"/>
    <n v="60"/>
    <n v="60"/>
    <x v="211"/>
    <m/>
    <m/>
    <x v="0"/>
    <x v="0"/>
  </r>
  <r>
    <d v="2020-12-06T00:00:00"/>
    <x v="15"/>
    <x v="2"/>
    <x v="10"/>
    <x v="2"/>
    <n v="23517"/>
    <s v="essieu arriere "/>
    <s v="des roullement "/>
    <x v="0"/>
    <s v="mise a nouveau d'essieu arriere _x000a_et changement edes rotules de biel direction des silent bloc d'essieu _x000a_des roullement d'axe fusée _x000a_des roullemet d'axe pivot _x000a_"/>
    <n v="154581"/>
    <n v="1140"/>
    <n v="1140"/>
    <x v="214"/>
    <m/>
    <m/>
    <x v="0"/>
    <x v="0"/>
  </r>
  <r>
    <d v="2020-12-07T00:00:00"/>
    <x v="7"/>
    <x v="1"/>
    <x v="5"/>
    <x v="7"/>
    <n v="23980"/>
    <s v="pneu "/>
    <s v="usure des pneus"/>
    <x v="0"/>
    <s v="changeme nt du quatre pneu ref 12R22,,5_x000a_serie TDA 053323 / TDA05378C  / TDA05371C  /  JZD03474C"/>
    <n v="156314"/>
    <n v="120"/>
    <n v="120"/>
    <x v="215"/>
    <m/>
    <m/>
    <x v="0"/>
    <x v="0"/>
  </r>
  <r>
    <d v="2020-12-08T00:00:00"/>
    <x v="7"/>
    <x v="1"/>
    <x v="5"/>
    <x v="7"/>
    <n v="23976"/>
    <s v="Entretien"/>
    <s v="vidange"/>
    <x v="1"/>
    <s v="vidange d'huile moteur 15W40_x000a_466664 km"/>
    <n v="154748"/>
    <n v="30"/>
    <n v="30"/>
    <x v="214"/>
    <m/>
    <m/>
    <x v="0"/>
    <x v="0"/>
  </r>
  <r>
    <d v="2020-12-09T00:00:00"/>
    <x v="4"/>
    <x v="1"/>
    <x v="3"/>
    <x v="4"/>
    <n v="23518"/>
    <s v="Entretien"/>
    <s v="mise a niveau"/>
    <x v="0"/>
    <s v="mise a niveau d'huile hydraulique "/>
    <n v="155801"/>
    <n v="30"/>
    <n v="30"/>
    <x v="216"/>
    <m/>
    <m/>
    <x v="0"/>
    <x v="0"/>
  </r>
  <r>
    <d v="2020-12-09T00:00:00"/>
    <x v="4"/>
    <x v="1"/>
    <x v="3"/>
    <x v="4"/>
    <n v="23977"/>
    <s v="fuite d'huile hydraulique "/>
    <s v="flexible percé"/>
    <x v="0"/>
    <s v="changement du flexible hydraulique "/>
    <n v="154750"/>
    <n v="570"/>
    <n v="570"/>
    <x v="216"/>
    <m/>
    <m/>
    <x v="0"/>
    <x v="0"/>
  </r>
  <r>
    <d v="2020-12-10T00:00:00"/>
    <x v="33"/>
    <x v="2"/>
    <x v="18"/>
    <x v="2"/>
    <n v="23520"/>
    <s v="arrét du moteur "/>
    <s v="solinoide d'arrét moteur "/>
    <x v="0"/>
    <s v="changement du solinoid d'arrét moteur _x000a_achat du marque adaptable  et non pratique "/>
    <n v="155804"/>
    <n v="180"/>
    <n v="180"/>
    <x v="217"/>
    <m/>
    <m/>
    <x v="0"/>
    <x v="0"/>
  </r>
  <r>
    <d v="2020-12-10T00:00:00"/>
    <x v="19"/>
    <x v="7"/>
    <x v="12"/>
    <x v="2"/>
    <n v="23536"/>
    <s v="démarrage "/>
    <s v="moteur endommagé"/>
    <x v="0"/>
    <s v="dépose et pose du moteur après leur réparation et changement du pochette roudage et changement des siege souppape et contrôle du culasse _x000a_peinture generale d'engin _x000a_    h"/>
    <s v="155810_x000a_155815_x000a_155825_x000a_155826_x000a_155830_x000a_155829_x000a_156029_x000a_156020_x000a_156301_x000a_156302_x000a_156047_x000a_156046_x000a_156033_x000a_156041"/>
    <n v="5700"/>
    <n v="14820"/>
    <x v="218"/>
    <m/>
    <m/>
    <x v="0"/>
    <x v="0"/>
  </r>
  <r>
    <d v="2020-12-11T00:00:00"/>
    <x v="6"/>
    <x v="4"/>
    <x v="4"/>
    <x v="6"/>
    <n v="23521"/>
    <s v="carosserie "/>
    <s v="rétroveseur endommagé"/>
    <x v="0"/>
    <s v="changement du rétroveseur coté gauche endommagé a cause d'un accident _x000a_entretien systematique_x000a_35700"/>
    <n v="155807"/>
    <n v="60"/>
    <n v="60"/>
    <x v="219"/>
    <m/>
    <m/>
    <x v="0"/>
    <x v="0"/>
  </r>
  <r>
    <d v="2020-12-11T00:00:00"/>
    <x v="8"/>
    <x v="3"/>
    <x v="6"/>
    <x v="8"/>
    <n v="23522"/>
    <s v="fuite d'ehuile "/>
    <s v="boite vitesse "/>
    <x v="0"/>
    <s v="réparation du fuite du boite de vitesse "/>
    <n v="155808"/>
    <n v="120"/>
    <n v="120"/>
    <x v="219"/>
    <m/>
    <m/>
    <x v="0"/>
    <x v="0"/>
  </r>
  <r>
    <d v="2020-12-12T00:00:00"/>
    <x v="2"/>
    <x v="2"/>
    <x v="2"/>
    <x v="2"/>
    <n v="23524"/>
    <s v="démarrage "/>
    <s v="electrovane"/>
    <x v="0"/>
    <s v="réparation du probleme de démarrage et changement des fusibles a lame"/>
    <n v="155813"/>
    <n v="120"/>
    <n v="120"/>
    <x v="213"/>
    <m/>
    <m/>
    <x v="0"/>
    <x v="0"/>
  </r>
  <r>
    <d v="2020-12-12T00:00:00"/>
    <x v="10"/>
    <x v="1"/>
    <x v="8"/>
    <x v="10"/>
    <n v="23525"/>
    <s v="eclairage "/>
    <s v="des lampes "/>
    <x v="0"/>
    <s v="réparation d'eclairage "/>
    <n v="155814"/>
    <n v="30"/>
    <n v="30"/>
    <x v="213"/>
    <m/>
    <m/>
    <x v="0"/>
    <x v="0"/>
  </r>
  <r>
    <d v="2020-12-12T00:00:00"/>
    <x v="26"/>
    <x v="2"/>
    <x v="15"/>
    <x v="2"/>
    <n v="23544"/>
    <s v="essieu arriere "/>
    <s v="usure des pneus"/>
    <x v="0"/>
    <s v="réparation d'essieu arrierechez ATT et changeent des chappe de direction et des rotule de direction et des bagues usée _x000a_changement et réparation du tube d'echappement  _x000a_changement du deux  kit de reparation verin de levage "/>
    <s v="156008_x000a_156024_x000a_156021_x000a_156015_x000a_156007_x000a_"/>
    <n v="3420"/>
    <n v="9120"/>
    <x v="220"/>
    <m/>
    <m/>
    <x v="0"/>
    <x v="0"/>
  </r>
  <r>
    <d v="2020-12-14T00:00:00"/>
    <x v="16"/>
    <x v="1"/>
    <x v="5"/>
    <x v="14"/>
    <n v="23526"/>
    <s v="pneu "/>
    <s v="pneu percé"/>
    <x v="0"/>
    <s v="réparation u creavaison pneu "/>
    <n v="155816"/>
    <n v="60"/>
    <n v="60"/>
    <x v="221"/>
    <m/>
    <m/>
    <x v="0"/>
    <x v="0"/>
  </r>
  <r>
    <d v="2020-12-14T00:00:00"/>
    <x v="23"/>
    <x v="3"/>
    <x v="6"/>
    <x v="18"/>
    <n v="23527"/>
    <s v="Entretien"/>
    <s v="des filtres "/>
    <x v="0"/>
    <s v="changement du dux filtre a gasoil 81125030086 / 81125030042_x000a_et filtre a air 814050021"/>
    <n v="155817"/>
    <n v="60"/>
    <n v="60"/>
    <x v="221"/>
    <m/>
    <m/>
    <x v="0"/>
    <x v="0"/>
  </r>
  <r>
    <d v="2020-12-14T00:00:00"/>
    <x v="14"/>
    <x v="6"/>
    <x v="9"/>
    <x v="2"/>
    <n v="23528"/>
    <s v="fuite d'eau "/>
    <s v="pipe d'eau"/>
    <x v="0"/>
    <s v="changement du pipe d'eau confectioné"/>
    <n v="155818"/>
    <n v="180"/>
    <n v="180"/>
    <x v="221"/>
    <m/>
    <m/>
    <x v="0"/>
    <x v="0"/>
  </r>
  <r>
    <d v="2020-12-14T00:00:00"/>
    <x v="12"/>
    <x v="3"/>
    <x v="3"/>
    <x v="12"/>
    <n v="23529"/>
    <s v="eclairage "/>
    <s v="des lampes "/>
    <x v="0"/>
    <s v="réparation d'eclairage "/>
    <n v="155821"/>
    <n v="120"/>
    <n v="120"/>
    <x v="221"/>
    <m/>
    <m/>
    <x v="0"/>
    <x v="0"/>
  </r>
  <r>
    <d v="2020-12-15T00:00:00"/>
    <x v="10"/>
    <x v="1"/>
    <x v="8"/>
    <x v="10"/>
    <n v="23530"/>
    <s v="Entretien"/>
    <s v="vidange"/>
    <x v="0"/>
    <s v="vidange d'huile moteur 15W40_x000a_changement du filtre a hile _x000a_changement du flexible hydraulique _x000a_651261  km"/>
    <n v="155823"/>
    <n v="570"/>
    <n v="570"/>
    <x v="222"/>
    <m/>
    <m/>
    <x v="0"/>
    <x v="0"/>
  </r>
  <r>
    <d v="2020-12-15T00:00:00"/>
    <x v="1"/>
    <x v="1"/>
    <x v="1"/>
    <x v="1"/>
    <n v="23531"/>
    <s v="pneu "/>
    <s v="usure des pneus"/>
    <x v="0"/>
    <s v="changement du deux pneu ref 10R22,5 "/>
    <n v="155824"/>
    <n v="120"/>
    <n v="120"/>
    <x v="222"/>
    <m/>
    <m/>
    <x v="0"/>
    <x v="0"/>
  </r>
  <r>
    <d v="2020-12-15T00:00:00"/>
    <x v="27"/>
    <x v="0"/>
    <x v="0"/>
    <x v="21"/>
    <n v="23537"/>
    <s v="moteur"/>
    <s v="pot d'echappement "/>
    <x v="0"/>
    <s v="netoyyage du circuit de gas d'echappement et du pot catalytique _x000a_par produit WD40_x000a_changement du triangle de suspontionet du bielette de suspontion _x000a_et deux rotule de suspontion avant_x000a_vidange d'huile moteur et changement des filtre  _x000a_275100 km"/>
    <s v="155882_x000a_155832_x000a_156009_x000a_156012_x000a_156019"/>
    <n v="3420"/>
    <n v="5700"/>
    <x v="223"/>
    <m/>
    <m/>
    <x v="0"/>
    <x v="0"/>
  </r>
  <r>
    <d v="2020-12-15T00:00:00"/>
    <x v="18"/>
    <x v="1"/>
    <x v="5"/>
    <x v="16"/>
    <n v="23838"/>
    <s v="Entretien"/>
    <s v="vidange"/>
    <x v="1"/>
    <s v="vidange d'huile moteur at chanement du filtre a huile et filtre a gasoil _x000a_lavage et graissage generale d'engin_x000a_798255"/>
    <n v="148839"/>
    <n v="120"/>
    <n v="120"/>
    <x v="222"/>
    <m/>
    <m/>
    <x v="0"/>
    <x v="0"/>
  </r>
  <r>
    <d v="2020-12-16T00:00:00"/>
    <x v="17"/>
    <x v="5"/>
    <x v="11"/>
    <x v="15"/>
    <n v="23978"/>
    <s v="peinture "/>
    <s v="accident"/>
    <x v="0"/>
    <s v="réparation du tole et peinture du carosserie coté aaccidenté"/>
    <s v="154743_x000a_154728_x000a_154717_x000a_154711_x000a_154703"/>
    <n v="5700"/>
    <n v="5700"/>
    <x v="220"/>
    <m/>
    <m/>
    <x v="0"/>
    <x v="0"/>
  </r>
  <r>
    <d v="2020-12-17T00:00:00"/>
    <x v="16"/>
    <x v="1"/>
    <x v="5"/>
    <x v="14"/>
    <n v="23533"/>
    <s v="Entretien"/>
    <s v="vidange"/>
    <x v="1"/>
    <s v="vidange d'huile moteur 15W40_x000a_changement du filtre a huile et filtre a gasoil_x000a_lavage et graissage generale d'engin_x000a_571223 km"/>
    <n v="155931"/>
    <n v="120"/>
    <n v="120"/>
    <x v="224"/>
    <m/>
    <m/>
    <x v="0"/>
    <x v="0"/>
  </r>
  <r>
    <d v="2020-12-18T00:00:00"/>
    <x v="30"/>
    <x v="9"/>
    <x v="24"/>
    <x v="24"/>
    <n v="23532"/>
    <s v="atelier "/>
    <s v="des epi"/>
    <x v="0"/>
    <s v="des chaussures neuf pour 17 personne de service maintenance "/>
    <n v="155833"/>
    <n v="30"/>
    <n v="30"/>
    <x v="225"/>
    <m/>
    <m/>
    <x v="0"/>
    <x v="0"/>
  </r>
  <r>
    <d v="2020-12-18T00:00:00"/>
    <x v="33"/>
    <x v="2"/>
    <x v="18"/>
    <x v="2"/>
    <n v="23534"/>
    <s v="Entretien"/>
    <s v="vidange"/>
    <x v="1"/>
    <s v="vidange d'huile moteur 15W40_x000a_changement du filtre a huile , filtre a airet filtre a gasoil_x000a_lavage et graissage generale d'engin_x000a_1946 h "/>
    <m/>
    <m/>
    <s v=""/>
    <x v="57"/>
    <m/>
    <m/>
    <x v="0"/>
    <x v="0"/>
  </r>
  <r>
    <d v="2020-12-18T00:00:00"/>
    <x v="11"/>
    <x v="3"/>
    <x v="3"/>
    <x v="11"/>
    <n v="23539"/>
    <s v="eclairage "/>
    <s v="des lampes "/>
    <x v="0"/>
    <s v="réparation d'eclairage "/>
    <n v="155839"/>
    <n v="120"/>
    <n v="120"/>
    <x v="225"/>
    <m/>
    <m/>
    <x v="0"/>
    <x v="0"/>
  </r>
  <r>
    <d v="2020-12-19T00:00:00"/>
    <x v="13"/>
    <x v="1"/>
    <x v="5"/>
    <x v="13"/>
    <n v="23535"/>
    <s v="Entretien"/>
    <s v="vidange"/>
    <x v="0"/>
    <s v="vidange d'huile moteur 15W40_x000a_changement du filtre a hule et filtre a gasoil _x000a_vidange d'huile du pont arriere et boite de vuitesse _x000a_431693 km"/>
    <n v="155836"/>
    <n v="180"/>
    <n v="180"/>
    <x v="226"/>
    <m/>
    <m/>
    <x v="0"/>
    <x v="0"/>
  </r>
  <r>
    <d v="2020-12-20T00:00:00"/>
    <x v="10"/>
    <x v="1"/>
    <x v="8"/>
    <x v="10"/>
    <n v="23507"/>
    <s v="eclairage "/>
    <s v="des lampes "/>
    <x v="0"/>
    <s v="réparation d'ecairage te changement des lampes "/>
    <n v="154194"/>
    <n v="60"/>
    <n v="60"/>
    <x v="208"/>
    <m/>
    <m/>
    <x v="0"/>
    <x v="0"/>
  </r>
  <r>
    <d v="2020-12-21T00:00:00"/>
    <x v="12"/>
    <x v="3"/>
    <x v="3"/>
    <x v="12"/>
    <n v="23508"/>
    <s v="fuite d'air "/>
    <s v="tuyau percé"/>
    <x v="0"/>
    <s v="Sortie hors sté pour déppanage du camion et réparation du fuite d'air "/>
    <s v="154553_x000a_154558"/>
    <n v="120"/>
    <n v="120"/>
    <x v="208"/>
    <m/>
    <m/>
    <x v="0"/>
    <x v="0"/>
  </r>
  <r>
    <d v="2020-12-21T00:00:00"/>
    <x v="17"/>
    <x v="5"/>
    <x v="11"/>
    <x v="15"/>
    <n v="23519"/>
    <s v="embrayage "/>
    <s v="disque d'embrayage "/>
    <x v="0"/>
    <s v="changement du kit d'embrayage complet _x000a_disque et plateau et butée _x000a_pompe inferieur d'embrayage "/>
    <n v="155803"/>
    <n v="1710"/>
    <n v="4550"/>
    <x v="214"/>
    <m/>
    <m/>
    <x v="0"/>
    <x v="0"/>
  </r>
  <r>
    <d v="2020-12-21T00:00:00"/>
    <x v="32"/>
    <x v="2"/>
    <x v="2"/>
    <x v="2"/>
    <n v="23541"/>
    <s v="Entretien"/>
    <s v="vidange"/>
    <x v="1"/>
    <s v="vidange d'huile moteur et changment du filtre a huile et filtre a gasoil _x000a_et filtre a air _x000a_2845 h"/>
    <n v="156001"/>
    <n v="120"/>
    <n v="120"/>
    <x v="227"/>
    <m/>
    <m/>
    <x v="0"/>
    <x v="0"/>
  </r>
  <r>
    <d v="2020-12-21T00:00:00"/>
    <x v="4"/>
    <x v="1"/>
    <x v="3"/>
    <x v="4"/>
    <n v="23542"/>
    <s v="pneu "/>
    <s v="usure des pneus"/>
    <x v="0"/>
    <s v="changement du deux pneus ref 295/80R22,5_x000a_tableaue magnetique pour atelier mecanique auto _x000a_"/>
    <n v="156002"/>
    <n v="120"/>
    <n v="120"/>
    <x v="227"/>
    <m/>
    <m/>
    <x v="0"/>
    <x v="0"/>
  </r>
  <r>
    <d v="2020-12-22T00:00:00"/>
    <x v="12"/>
    <x v="3"/>
    <x v="3"/>
    <x v="12"/>
    <n v="23543"/>
    <s v="pneu "/>
    <s v="usure des pneus"/>
    <x v="0"/>
    <s v="changement du quatre pneus ref 315/80R22,5_x000a_221170 km"/>
    <n v="156006"/>
    <n v="120"/>
    <n v="120"/>
    <x v="228"/>
    <m/>
    <m/>
    <x v="0"/>
    <x v="0"/>
  </r>
  <r>
    <d v="2020-12-23T00:00:00"/>
    <x v="32"/>
    <x v="2"/>
    <x v="2"/>
    <x v="2"/>
    <n v="23509"/>
    <s v="démarrage "/>
    <s v="cosse battrie "/>
    <x v="0"/>
    <s v="réparation du probleme de démarrage "/>
    <n v="154555"/>
    <n v="120"/>
    <n v="120"/>
    <x v="205"/>
    <m/>
    <m/>
    <x v="0"/>
    <x v="0"/>
  </r>
  <r>
    <d v="2020-12-23T00:00:00"/>
    <x v="23"/>
    <x v="3"/>
    <x v="6"/>
    <x v="18"/>
    <n v="23510"/>
    <s v="démarrage "/>
    <s v="battrie de démarrage "/>
    <x v="0"/>
    <s v="réparation du problme de démarrage "/>
    <n v="154559"/>
    <n v="120"/>
    <n v="120"/>
    <x v="205"/>
    <m/>
    <m/>
    <x v="0"/>
    <x v="0"/>
  </r>
  <r>
    <d v="2020-12-23T00:00:00"/>
    <x v="9"/>
    <x v="5"/>
    <x v="7"/>
    <x v="9"/>
    <n v="23545"/>
    <s v="carosserie "/>
    <s v="vitre avant "/>
    <x v="0"/>
    <s v="changemet du jeu de balai d'essuie glace "/>
    <n v="156010"/>
    <n v="30"/>
    <n v="30"/>
    <x v="229"/>
    <m/>
    <m/>
    <x v="0"/>
    <x v="0"/>
  </r>
  <r>
    <d v="2020-12-23T00:00:00"/>
    <x v="21"/>
    <x v="2"/>
    <x v="13"/>
    <x v="2"/>
    <n v="23546"/>
    <s v="Entretien"/>
    <s v="mise a niveau"/>
    <x v="1"/>
    <s v="mise a niveau d'huile hydraulique"/>
    <n v="156011"/>
    <n v="30"/>
    <n v="30"/>
    <x v="229"/>
    <m/>
    <m/>
    <x v="0"/>
    <x v="0"/>
  </r>
  <r>
    <d v="2020-12-24T00:00:00"/>
    <x v="17"/>
    <x v="5"/>
    <x v="11"/>
    <x v="15"/>
    <n v="23547"/>
    <s v="eclairage "/>
    <s v="des lampes "/>
    <x v="0"/>
    <s v="réparation d'eclairage "/>
    <n v="156016"/>
    <n v="60"/>
    <n v="60"/>
    <x v="230"/>
    <m/>
    <m/>
    <x v="0"/>
    <x v="0"/>
  </r>
  <r>
    <d v="2020-12-24T00:00:00"/>
    <x v="13"/>
    <x v="1"/>
    <x v="5"/>
    <x v="13"/>
    <n v="23548"/>
    <s v="eclairage "/>
    <s v="des lampes "/>
    <x v="0"/>
    <s v="réparation d'eclairage "/>
    <n v="156017"/>
    <n v="120"/>
    <n v="120"/>
    <x v="223"/>
    <m/>
    <m/>
    <x v="0"/>
    <x v="0"/>
  </r>
  <r>
    <d v="2020-12-25T00:00:00"/>
    <x v="1"/>
    <x v="1"/>
    <x v="1"/>
    <x v="1"/>
    <n v="23549"/>
    <s v="carosserie "/>
    <s v="filet on nylon "/>
    <x v="0"/>
    <s v="changement du filet on nylon "/>
    <n v="156018"/>
    <n v="30"/>
    <n v="30"/>
    <x v="223"/>
    <m/>
    <m/>
    <x v="0"/>
    <x v="0"/>
  </r>
  <r>
    <d v="2020-12-25T00:00:00"/>
    <x v="7"/>
    <x v="1"/>
    <x v="5"/>
    <x v="7"/>
    <n v="23550"/>
    <s v="eclairage "/>
    <s v="des lampes "/>
    <x v="0"/>
    <s v="réparation d'eclairage "/>
    <n v="156022"/>
    <n v="120"/>
    <n v="120"/>
    <x v="223"/>
    <m/>
    <m/>
    <x v="0"/>
    <x v="0"/>
  </r>
  <r>
    <d v="2020-12-25T00:00:00"/>
    <x v="13"/>
    <x v="1"/>
    <x v="5"/>
    <x v="13"/>
    <n v="23951"/>
    <s v="carosserie "/>
    <s v="plaque signalitique"/>
    <x v="0"/>
    <s v="montage du plaque de limiteation vitesse _x000a_réparation d'eclairage "/>
    <n v="156023"/>
    <n v="60"/>
    <n v="60"/>
    <x v="223"/>
    <m/>
    <m/>
    <x v="0"/>
    <x v="0"/>
  </r>
  <r>
    <d v="2020-12-25T00:00:00"/>
    <x v="23"/>
    <x v="3"/>
    <x v="6"/>
    <x v="18"/>
    <n v="23952"/>
    <s v="des injecteur "/>
    <s v="injecteur endommagé"/>
    <x v="0"/>
    <s v="changement d'injecteur récupéré du laferaille interne _x000a_avec douille _x000a_réparation du probleme de melange du gasoil avec gas d'echappement _x000a_netoyyag du reservoire de gasoil _x000a_changement du filtre de chassis "/>
    <s v="156025_x000a_156027"/>
    <n v="2280"/>
    <n v="2280"/>
    <x v="231"/>
    <m/>
    <m/>
    <x v="0"/>
    <x v="0"/>
  </r>
  <r>
    <d v="2020-12-26T00:00:00"/>
    <x v="20"/>
    <x v="1"/>
    <x v="6"/>
    <x v="17"/>
    <n v="23953"/>
    <s v="Entretien"/>
    <s v="vidange"/>
    <x v="1"/>
    <s v="vidange d'huile moteur 15W40_x000a_lavage et graissag d'engin_x000a_821701 km"/>
    <n v="156026"/>
    <n v="60"/>
    <n v="60"/>
    <x v="232"/>
    <m/>
    <m/>
    <x v="0"/>
    <x v="0"/>
  </r>
  <r>
    <d v="2020-12-26T00:00:00"/>
    <x v="22"/>
    <x v="2"/>
    <x v="14"/>
    <x v="2"/>
    <n v="23957"/>
    <s v="démarrage "/>
    <s v="démarreur"/>
    <x v="0"/>
    <s v="réparation du démarreur et changement du jeu des charbon et induit de démarreg "/>
    <n v="156032"/>
    <n v="570"/>
    <n v="570"/>
    <x v="233"/>
    <m/>
    <m/>
    <x v="0"/>
    <x v="0"/>
  </r>
  <r>
    <d v="2020-12-27T00:00:00"/>
    <x v="22"/>
    <x v="2"/>
    <x v="14"/>
    <x v="2"/>
    <n v="23954"/>
    <s v="Entretien"/>
    <s v="vidange"/>
    <x v="1"/>
    <s v="vidange d'huile moteur 15W40_x000a_10943 h"/>
    <n v="156028"/>
    <n v="60"/>
    <n v="60"/>
    <x v="234"/>
    <m/>
    <m/>
    <x v="0"/>
    <x v="0"/>
  </r>
  <r>
    <d v="2020-12-28T00:00:00"/>
    <x v="2"/>
    <x v="2"/>
    <x v="2"/>
    <x v="2"/>
    <n v="23955"/>
    <s v="démarrage "/>
    <s v="démarreur"/>
    <x v="0"/>
    <s v="changement du démarreur complet _x000a_marque adaptable "/>
    <n v="156031"/>
    <n v="120"/>
    <n v="120"/>
    <x v="231"/>
    <m/>
    <m/>
    <x v="0"/>
    <x v="0"/>
  </r>
  <r>
    <d v="2020-12-28T00:00:00"/>
    <x v="17"/>
    <x v="5"/>
    <x v="11"/>
    <x v="15"/>
    <n v="23956"/>
    <s v="carosserie "/>
    <s v="pare choc avant"/>
    <x v="0"/>
    <s v="réparation du pare choc avant fissurée a cause d'un accident "/>
    <s v="156030_x000a_156303"/>
    <n v="570"/>
    <n v="570"/>
    <x v="235"/>
    <m/>
    <m/>
    <x v="0"/>
    <x v="0"/>
  </r>
  <r>
    <d v="2020-12-29T00:00:00"/>
    <x v="28"/>
    <x v="2"/>
    <x v="13"/>
    <x v="2"/>
    <n v="23958"/>
    <s v="démarrage "/>
    <s v="battrie de démarrage "/>
    <x v="0"/>
    <s v="changement du battrie de démarrage l5_x000a_et des fusible a lame"/>
    <n v="156034"/>
    <n v="120"/>
    <n v="120"/>
    <x v="233"/>
    <m/>
    <m/>
    <x v="0"/>
    <x v="0"/>
  </r>
  <r>
    <d v="2020-12-29T00:00:00"/>
    <x v="4"/>
    <x v="1"/>
    <x v="3"/>
    <x v="4"/>
    <n v="23959"/>
    <s v="eclairage "/>
    <s v="des lampes "/>
    <x v="0"/>
    <s v="réparatio d'eclairage du plateau"/>
    <n v="1566035"/>
    <n v="60"/>
    <n v="60"/>
    <x v="233"/>
    <m/>
    <m/>
    <x v="0"/>
    <x v="0"/>
  </r>
  <r>
    <d v="2020-12-30T00:00:00"/>
    <x v="8"/>
    <x v="3"/>
    <x v="6"/>
    <x v="8"/>
    <n v="23960"/>
    <s v="Entretien"/>
    <s v="filtre a air"/>
    <x v="1"/>
    <s v="hangement dui filtre a air "/>
    <n v="156037"/>
    <n v="30"/>
    <n v="30"/>
    <x v="220"/>
    <m/>
    <m/>
    <x v="0"/>
    <x v="0"/>
  </r>
  <r>
    <d v="2020-12-30T00:00:00"/>
    <x v="30"/>
    <x v="10"/>
    <x v="24"/>
    <x v="24"/>
    <n v="23961"/>
    <m/>
    <s v=" "/>
    <x v="0"/>
    <s v="jeu bdes cles pipe du 6 mm 24 mm"/>
    <n v="156038"/>
    <n v="30"/>
    <n v="30"/>
    <x v="220"/>
    <m/>
    <m/>
    <x v="0"/>
    <x v="0"/>
  </r>
  <r>
    <d v="2020-12-30T00:00:00"/>
    <x v="10"/>
    <x v="1"/>
    <x v="8"/>
    <x v="10"/>
    <n v="23962"/>
    <s v="eclairage "/>
    <s v="des lampes "/>
    <x v="0"/>
    <s v="réparation declairage "/>
    <n v="156040"/>
    <n v="30"/>
    <n v="30"/>
    <x v="236"/>
    <m/>
    <m/>
    <x v="0"/>
    <x v="0"/>
  </r>
  <r>
    <d v="2020-12-31T00:00:00"/>
    <x v="24"/>
    <x v="0"/>
    <x v="0"/>
    <x v="19"/>
    <n v="23963"/>
    <s v="entretien"/>
    <s v="vidange"/>
    <x v="1"/>
    <s v="vidange d'huile moteur 15W40_x000a_192030 km"/>
    <n v="156045"/>
    <n v="60"/>
    <n v="60"/>
    <x v="236"/>
    <m/>
    <m/>
    <x v="0"/>
    <x v="0"/>
  </r>
  <r>
    <d v="2021-01-01T00:00:00"/>
    <x v="21"/>
    <x v="2"/>
    <x v="13"/>
    <x v="2"/>
    <n v="23965"/>
    <s v="fuite d'huile hydraulique "/>
    <s v="boitier de direction "/>
    <x v="0"/>
    <s v="peinture generale d'engin et répparation du carosserie _x000a_depose et pose du moteur thermique pour réparation du fuite d'huile moteur et changement des arrét d'huile moteur avant et arriére et boitier de direction changement des flexible hydrauliques en fuite _x000a_des silent bloc d'essieu arriere _x000a_kit réparation d'axe fusee _x000a_kit réparation d'axe pivot _x000a_kit réparation verin de direction _x000a_"/>
    <s v="157714_x000a_157725_x000a_157730_x000a_157739_x000a_157743"/>
    <n v="3240"/>
    <n v="14040"/>
    <x v="237"/>
    <m/>
    <m/>
    <x v="0"/>
    <x v="0"/>
  </r>
  <r>
    <d v="2021-01-01T00:00:00"/>
    <x v="21"/>
    <x v="2"/>
    <x v="13"/>
    <x v="2"/>
    <n v="24119"/>
    <s v="fuite d'huile hydraulique "/>
    <s v="boitier de direction "/>
    <x v="0"/>
    <s v="réparation du probleme de fuite d'huile et changement des acces pivot et kit réparation axes fusee _x000a_changement du verin de direction _x000a_changement du pochette de joint a cause du fuite  au niveau des arrét d'huile moteur thermique _x000a_tarage du pompe d'injection et des injecteurs _x000a_réparation d'eclairage _x000a_peinture generale d'engin _x000a_vidange d'huile moteur et changement du filtre a huile _x000a_34909 h_x000a_"/>
    <s v="159610_x000a_160479_x000a_160476_x000a_160621_x000a_159608_x000a_159606_x000a_159601_x000a_158494_x000a_158438_x000a_158490_x000a_158208_x000a_158203"/>
    <n v="4560"/>
    <n v="14800"/>
    <x v="238"/>
    <m/>
    <m/>
    <x v="0"/>
    <x v="0"/>
  </r>
  <r>
    <d v="2021-01-02T00:00:00"/>
    <x v="28"/>
    <x v="2"/>
    <x v="13"/>
    <x v="2"/>
    <n v="23964"/>
    <s v="fixation moteur "/>
    <s v="vis de fixation"/>
    <x v="0"/>
    <s v="dépose et pose duu moteur thermique pour réparation du fixation du cloche moteur "/>
    <n v="156044"/>
    <n v="1710"/>
    <n v="5700"/>
    <x v="239"/>
    <m/>
    <m/>
    <x v="0"/>
    <x v="0"/>
  </r>
  <r>
    <d v="2021-01-02T00:00:00"/>
    <x v="22"/>
    <x v="2"/>
    <x v="14"/>
    <x v="2"/>
    <n v="23966"/>
    <s v="pneu "/>
    <s v="peueclaté"/>
    <x v="0"/>
    <s v="changement du deux pneu avant ref 14,5R20"/>
    <n v="157244"/>
    <n v="240"/>
    <n v="3990"/>
    <x v="240"/>
    <m/>
    <m/>
    <x v="0"/>
    <x v="0"/>
  </r>
  <r>
    <d v="2021-01-02T00:00:00"/>
    <x v="1"/>
    <x v="1"/>
    <x v="1"/>
    <x v="1"/>
    <n v="23970"/>
    <s v="démarrage "/>
    <s v="battrie de démarrage "/>
    <x v="0"/>
    <s v="changement du deux battrie ref  L3 12V_x000a_changement du piecesrappel pedale d'accelerateur "/>
    <n v="154721"/>
    <n v="240"/>
    <n v="240"/>
    <x v="241"/>
    <m/>
    <m/>
    <x v="0"/>
    <x v="0"/>
  </r>
  <r>
    <d v="2021-01-05T00:00:00"/>
    <x v="29"/>
    <x v="2"/>
    <x v="16"/>
    <x v="2"/>
    <n v="23967"/>
    <s v="Entretien"/>
    <s v="mise a niveau"/>
    <x v="1"/>
    <s v="mise a niveau d'huile moteur "/>
    <n v="156307"/>
    <n v="30"/>
    <n v="30"/>
    <x v="242"/>
    <m/>
    <m/>
    <x v="0"/>
    <x v="0"/>
  </r>
  <r>
    <d v="2021-01-06T00:00:00"/>
    <x v="15"/>
    <x v="2"/>
    <x v="10"/>
    <x v="2"/>
    <n v="23996"/>
    <s v="Roue arriere "/>
    <s v="axe pivot endommagé"/>
    <x v="0"/>
    <s v="changement du kit réparation d'axe fuséé et kit réparaton d'axe piivot _x000a_changement du deux jante achat du laferaille et deux pneus neuf ref 23*9*10 pour les roue arrieres _x000a_réparation du levier de distributeur hydraulique _x000a_vidange d'huile moteur 15W40_x000a_changement du filtre a huile_x000a_7619 h"/>
    <s v="156315_x000a_156336"/>
    <n v="1710"/>
    <n v="5700"/>
    <x v="243"/>
    <m/>
    <m/>
    <x v="0"/>
    <x v="0"/>
  </r>
  <r>
    <d v="2021-01-07T00:00:00"/>
    <x v="13"/>
    <x v="1"/>
    <x v="5"/>
    <x v="13"/>
    <n v="23984"/>
    <s v="boite de vitesse "/>
    <s v="des cables "/>
    <x v="0"/>
    <s v="changement du deux cables de selection vitesse "/>
    <n v="165337"/>
    <n v="1140"/>
    <n v="3990"/>
    <x v="244"/>
    <m/>
    <m/>
    <x v="0"/>
    <x v="0"/>
  </r>
  <r>
    <d v="2021-01-07T00:00:00"/>
    <x v="5"/>
    <x v="3"/>
    <x v="3"/>
    <x v="5"/>
    <n v="23985"/>
    <s v="démarrage "/>
    <s v="tableu de bord "/>
    <x v="0"/>
    <s v="changement du tableu des fusibles et relais brulé a cause du fuite d'eau de pluie"/>
    <n v="165341"/>
    <n v="2280"/>
    <n v="4560"/>
    <x v="245"/>
    <m/>
    <m/>
    <x v="0"/>
    <x v="0"/>
  </r>
  <r>
    <d v="2021-01-09T00:00:00"/>
    <x v="9"/>
    <x v="5"/>
    <x v="7"/>
    <x v="9"/>
    <n v="23981"/>
    <s v="Entretien"/>
    <s v="vidange"/>
    <x v="1"/>
    <s v="vidange d'huile moteur 15W40   65700 km"/>
    <n v="156321"/>
    <n v="120"/>
    <n v="120"/>
    <x v="246"/>
    <m/>
    <m/>
    <x v="0"/>
    <x v="0"/>
  </r>
  <r>
    <d v="2021-01-09T00:00:00"/>
    <x v="2"/>
    <x v="2"/>
    <x v="2"/>
    <x v="2"/>
    <n v="23982"/>
    <s v="charge u battrie "/>
    <s v="alternateur de charge battrie "/>
    <x v="0"/>
    <s v="répration d''alternateur de charge battrie "/>
    <n v="156322"/>
    <n v="240"/>
    <n v="240"/>
    <x v="246"/>
    <m/>
    <m/>
    <x v="0"/>
    <x v="0"/>
  </r>
  <r>
    <d v="2021-01-13T00:00:00"/>
    <x v="10"/>
    <x v="1"/>
    <x v="8"/>
    <x v="10"/>
    <n v="23983"/>
    <s v="démarrage "/>
    <s v="injectction gsoil"/>
    <x v="0"/>
    <s v="réparation du probleme d'injection du gasoil _x000a_changement du filtre a gasoil _x000a_changement du prefiltre a gasoil"/>
    <s v="165329_x000a_165328_x000a_165340"/>
    <n v="570"/>
    <n v="570"/>
    <x v="247"/>
    <m/>
    <m/>
    <x v="0"/>
    <x v="0"/>
  </r>
  <r>
    <d v="2021-01-14T00:00:00"/>
    <x v="23"/>
    <x v="3"/>
    <x v="6"/>
    <x v="18"/>
    <n v="23988"/>
    <s v="Freinage "/>
    <s v="garniture de frein"/>
    <x v="0"/>
    <s v="réparation du probleme de freinage et chagement du quatre jeu de garniture de frein pour tracteuur etplateau _x000a_des arrét de graisse reducteur de tracteur _x000a_réparatio d'eclairage et  changement des lampes _x000a_changement du boitier de direction achat du laferaille _x000a_changement du deux venteuse du cabine _x000a_avant et arriere "/>
    <s v="157735_x000a_157760_x000a_157776_x000a_157767_x000a_157780_x000a_157788_x000a_157782_x000a_157782_x000a_157785_x000a_157786_x000a_157718_x000a_157731"/>
    <n v="4560"/>
    <n v="11400"/>
    <x v="248"/>
    <m/>
    <m/>
    <x v="0"/>
    <x v="0"/>
  </r>
  <r>
    <d v="2021-01-15T00:00:00"/>
    <x v="19"/>
    <x v="7"/>
    <x v="12"/>
    <x v="2"/>
    <n v="23987"/>
    <s v="moteur"/>
    <s v="moteur endommagé"/>
    <x v="0"/>
    <s v="dépose et pose du moteur thermique pour la deusieme fois pour change leur group moteur avec des pistons chemises (achat du laferaille par mr brahim ) réparation du reulaateur d'injection gaoil _x000a_pochette joint coimplet _x000a_vidange d'huile moteur 15W40_x000a_1915 h"/>
    <s v="157716_x000a_157717_x000a_157746_x000a_157761_x000a_157777_x000a_156311_x000a_156333_x000a_156319_x000a_156344_x000a_156313_x000a_157765_x000a_157764_x000a_156656_x000a_157723"/>
    <n v="3420"/>
    <n v="7980"/>
    <x v="249"/>
    <m/>
    <m/>
    <x v="0"/>
    <x v="0"/>
  </r>
  <r>
    <d v="2021-01-16T00:00:00"/>
    <x v="16"/>
    <x v="1"/>
    <x v="5"/>
    <x v="14"/>
    <n v="23986"/>
    <s v="pneu "/>
    <s v="usure des pneus"/>
    <x v="0"/>
    <s v="changement du deux pneu ref 12R22,5_x000a_"/>
    <n v="165343"/>
    <n v="120"/>
    <n v="120"/>
    <x v="243"/>
    <m/>
    <m/>
    <x v="0"/>
    <x v="0"/>
  </r>
  <r>
    <d v="2021-01-16T00:00:00"/>
    <x v="10"/>
    <x v="1"/>
    <x v="8"/>
    <x v="10"/>
    <n v="23989"/>
    <s v="vitesse "/>
    <s v="pompe d'embrayage "/>
    <x v="0"/>
    <s v="réparation du probleme d'embrayage et changement changement du pompe d'embrayage inferieur et  sup _x000a_changement du mecanisme de levier de vitesse complet_x000a_vidange d'huile moteur 15W40"/>
    <s v="157701_x000a_157708_x000a_157729_x000a_157737_x000a_157741_x000a_157752_x000a_157771_x000a_157755"/>
    <n v="2850"/>
    <n v="6250"/>
    <x v="250"/>
    <m/>
    <m/>
    <x v="0"/>
    <x v="0"/>
  </r>
  <r>
    <d v="2021-01-17T00:00:00"/>
    <x v="5"/>
    <x v="3"/>
    <x v="3"/>
    <x v="5"/>
    <n v="23990"/>
    <s v="démarrage "/>
    <s v="battrie de démarrage "/>
    <x v="0"/>
    <s v="réparation du probleme de démarrage et changement des fusibles a lame"/>
    <n v="157703"/>
    <n v="60"/>
    <n v="60"/>
    <x v="245"/>
    <m/>
    <m/>
    <x v="0"/>
    <x v="0"/>
  </r>
  <r>
    <d v="2021-01-18T00:00:00"/>
    <x v="16"/>
    <x v="1"/>
    <x v="5"/>
    <x v="14"/>
    <n v="23991"/>
    <s v="eclairage "/>
    <s v="des lampes "/>
    <x v="0"/>
    <s v="réparation d'eclairage "/>
    <n v="157704"/>
    <n v="60"/>
    <n v="60"/>
    <x v="251"/>
    <m/>
    <m/>
    <x v="0"/>
    <x v="0"/>
  </r>
  <r>
    <d v="2021-01-19T00:00:00"/>
    <x v="9"/>
    <x v="5"/>
    <x v="7"/>
    <x v="9"/>
    <n v="23992"/>
    <s v="pneu "/>
    <s v="usure des pneus"/>
    <x v="0"/>
    <s v="changement du deux pneu ref 205/75R17,5_x000a_serie EKZ33885A  /  FKZ20457A"/>
    <n v="157709"/>
    <n v="120"/>
    <n v="120"/>
    <x v="249"/>
    <m/>
    <m/>
    <x v="0"/>
    <x v="0"/>
  </r>
  <r>
    <d v="2021-01-23T00:00:00"/>
    <x v="26"/>
    <x v="2"/>
    <x v="15"/>
    <x v="2"/>
    <n v="23993"/>
    <s v="Entretien"/>
    <s v="vidange"/>
    <x v="1"/>
    <s v="réparation du problem de démarrage  "/>
    <n v="157732"/>
    <n v="120"/>
    <n v="120"/>
    <x v="252"/>
    <m/>
    <m/>
    <x v="0"/>
    <x v="0"/>
  </r>
  <r>
    <d v="2021-01-26T00:00:00"/>
    <x v="7"/>
    <x v="1"/>
    <x v="5"/>
    <x v="7"/>
    <n v="23994"/>
    <s v="Entretien"/>
    <s v="vidange"/>
    <x v="1"/>
    <s v="vidange d'huile moteur 15W040_x000a_480481 km"/>
    <n v="157740"/>
    <n v="120"/>
    <n v="120"/>
    <x v="253"/>
    <m/>
    <m/>
    <x v="0"/>
    <x v="0"/>
  </r>
  <r>
    <d v="2021-01-27T00:00:00"/>
    <x v="24"/>
    <x v="0"/>
    <x v="0"/>
    <x v="19"/>
    <n v="23995"/>
    <s v="Entretien"/>
    <s v="filtre a air"/>
    <x v="1"/>
    <s v="changement du filtr a air ref 1444TV"/>
    <n v="157748"/>
    <n v="60"/>
    <n v="60"/>
    <x v="254"/>
    <m/>
    <m/>
    <x v="0"/>
    <x v="0"/>
  </r>
  <r>
    <d v="2021-01-28T00:00:00"/>
    <x v="17"/>
    <x v="5"/>
    <x v="11"/>
    <x v="15"/>
    <n v="23997"/>
    <s v="klaxon "/>
    <s v="klaxon ondommagée"/>
    <x v="0"/>
    <s v="changement du klaxon 24 V"/>
    <n v="167753"/>
    <n v="120"/>
    <n v="120"/>
    <x v="250"/>
    <m/>
    <m/>
    <x v="0"/>
    <x v="0"/>
  </r>
  <r>
    <d v="2021-01-29T00:00:00"/>
    <x v="13"/>
    <x v="1"/>
    <x v="5"/>
    <x v="13"/>
    <n v="23998"/>
    <s v="eclairage "/>
    <s v="des lampes "/>
    <x v="0"/>
    <s v="réparation d'clairage "/>
    <n v="157754"/>
    <n v="120"/>
    <n v="120"/>
    <x v="249"/>
    <m/>
    <m/>
    <x v="0"/>
    <x v="0"/>
  </r>
  <r>
    <d v="2021-01-30T00:00:00"/>
    <x v="33"/>
    <x v="2"/>
    <x v="18"/>
    <x v="2"/>
    <n v="23968"/>
    <s v="démarrage "/>
    <s v="filtre a gasoil "/>
    <x v="0"/>
    <s v="changement du filtre a gasoil et réparation du probleme de démarrage "/>
    <n v="154709"/>
    <n v="180"/>
    <n v="180"/>
    <x v="237"/>
    <m/>
    <m/>
    <x v="0"/>
    <x v="0"/>
  </r>
  <r>
    <d v="2021-01-30T00:00:00"/>
    <x v="7"/>
    <x v="1"/>
    <x v="5"/>
    <x v="7"/>
    <n v="23969"/>
    <s v="pneu "/>
    <s v="usure des pneus"/>
    <x v="0"/>
    <s v="usure des pneu _x000a_changement du deux pneu ref 12R22,5  xz_x000a_serie TDA05389C   /   TDA05397C"/>
    <n v="157715"/>
    <n v="120"/>
    <n v="120"/>
    <x v="255"/>
    <m/>
    <m/>
    <x v="0"/>
    <x v="0"/>
  </r>
  <r>
    <d v="2021-01-30T00:00:00"/>
    <x v="26"/>
    <x v="2"/>
    <x v="15"/>
    <x v="2"/>
    <n v="23999"/>
    <s v="Entretien"/>
    <s v="vidange"/>
    <x v="0"/>
    <s v="vidange d'huile moteur et changment du filtre a huile et filtre a gasoil _x000a_et filtre a air _x000a_360h"/>
    <n v="157758"/>
    <n v="120"/>
    <n v="120"/>
    <x v="237"/>
    <m/>
    <m/>
    <x v="0"/>
    <x v="0"/>
  </r>
  <r>
    <d v="2021-01-30T00:00:00"/>
    <x v="18"/>
    <x v="1"/>
    <x v="5"/>
    <x v="16"/>
    <n v="24107"/>
    <s v="freinage "/>
    <s v="garniture de frein "/>
    <x v="0"/>
    <s v="réparation du probleme de freinage et changement du jeu de garniture de frein avant et arriere _x000a_des arrét de graisse de moyeu avant et arriere _x000a_quatre roullement de moyeux arriere gauche et  droit _x000a_deux master de frein arriere complet _x000a_deux tambour arriere et rectification du deux tambour avant _x000a_vidange d'huile moteur et boite de vtesse et pont arriere _x000a_803300km"/>
    <s v="158235_x000a_158229_x000a_159225_x000a_158210_x000a_158236_x000a_158236_x000a_158243"/>
    <n v="2700"/>
    <n v="9720"/>
    <x v="256"/>
    <m/>
    <m/>
    <x v="0"/>
    <x v="0"/>
  </r>
  <r>
    <d v="2021-02-01T00:00:00"/>
    <x v="27"/>
    <x v="0"/>
    <x v="0"/>
    <x v="21"/>
    <n v="24103"/>
    <s v="Entretien"/>
    <s v="filtre a air"/>
    <x v="1"/>
    <s v="changement du filtre a air a cause du  colmatage de filtre"/>
    <n v="157768"/>
    <n v="30"/>
    <n v="30"/>
    <x v="257"/>
    <m/>
    <m/>
    <x v="0"/>
    <x v="0"/>
  </r>
  <r>
    <d v="2021-02-02T00:00:00"/>
    <x v="16"/>
    <x v="1"/>
    <x v="5"/>
    <x v="14"/>
    <n v="24000"/>
    <s v="Entretien"/>
    <s v="vidange"/>
    <x v="0"/>
    <s v="changment du  filtre a air  579300 km"/>
    <n v="157775"/>
    <n v="60"/>
    <n v="60"/>
    <x v="258"/>
    <m/>
    <m/>
    <x v="0"/>
    <x v="0"/>
  </r>
  <r>
    <d v="2021-02-03T00:00:00"/>
    <x v="17"/>
    <x v="5"/>
    <x v="11"/>
    <x v="15"/>
    <n v="24101"/>
    <s v="eclairage "/>
    <s v="des lampes "/>
    <x v="0"/>
    <s v="réparatiion d'eclairage et changemet des lampes "/>
    <n v="157779"/>
    <n v="60"/>
    <n v="60"/>
    <x v="259"/>
    <m/>
    <m/>
    <x v="0"/>
    <x v="0"/>
  </r>
  <r>
    <d v="2021-02-05T00:00:00"/>
    <x v="8"/>
    <x v="3"/>
    <x v="6"/>
    <x v="8"/>
    <n v="24102"/>
    <s v="Entretien"/>
    <s v="vidange"/>
    <x v="1"/>
    <s v="vidange d'huile moteur _x000a_et changement du filtre a huile _x000a_731500 km"/>
    <m/>
    <n v="60"/>
    <n v="60"/>
    <x v="248"/>
    <m/>
    <m/>
    <x v="0"/>
    <x v="0"/>
  </r>
  <r>
    <d v="2021-02-08T00:00:00"/>
    <x v="10"/>
    <x v="1"/>
    <x v="8"/>
    <x v="10"/>
    <n v="24122"/>
    <s v="injection du gazoil"/>
    <s v="des injecteurs"/>
    <x v="0"/>
    <s v="réparation du probleme d'injection gazoil et tarage des injecteurs _x000a_et chhangement du pieces d'accelerateur _x000a_débouchage du radiateur _x000a_réparation des element de suspontion _x000a_(tous ces intervention et réaliser a sté  RENAULT TRUCK + CAHLAOUI RADIATEUR ET TRANS RAJBOUN °"/>
    <m/>
    <n v="8550"/>
    <n v="8550"/>
    <x v="260"/>
    <m/>
    <m/>
    <x v="0"/>
    <x v="0"/>
  </r>
  <r>
    <d v="2021-02-09T00:00:00"/>
    <x v="12"/>
    <x v="3"/>
    <x v="3"/>
    <x v="12"/>
    <n v="24106"/>
    <s v="eclairage "/>
    <s v="des lampes "/>
    <x v="3"/>
    <s v="réparation d'eclairage et changement des lampes"/>
    <n v="158205"/>
    <n v="60"/>
    <n v="60"/>
    <x v="261"/>
    <m/>
    <m/>
    <x v="0"/>
    <x v="0"/>
  </r>
  <r>
    <d v="2021-02-10T00:00:00"/>
    <x v="23"/>
    <x v="3"/>
    <x v="6"/>
    <x v="18"/>
    <n v="24108"/>
    <s v="boite de vitesse "/>
    <s v="selection vitesse "/>
    <x v="0"/>
    <s v="réparation du probleme de selection vitesse a sté SEFAMAR_x000a_probleme electrique c_x000a_changement des file et boitier de comande"/>
    <s v="158213_x000a_158206"/>
    <n v="1140"/>
    <n v="1710"/>
    <x v="262"/>
    <m/>
    <m/>
    <x v="0"/>
    <x v="0"/>
  </r>
  <r>
    <d v="2021-02-10T00:00:00"/>
    <x v="15"/>
    <x v="2"/>
    <x v="10"/>
    <x v="2"/>
    <n v="24109"/>
    <s v="Entretien"/>
    <s v="mise a niveau"/>
    <x v="1"/>
    <s v="mise a niveau d'hule hydraulique"/>
    <n v="158207"/>
    <n v="60"/>
    <n v="60"/>
    <x v="263"/>
    <m/>
    <m/>
    <x v="0"/>
    <x v="0"/>
  </r>
  <r>
    <d v="2021-02-11T00:00:00"/>
    <x v="19"/>
    <x v="7"/>
    <x v="12"/>
    <x v="2"/>
    <n v="24110"/>
    <s v="carosserie "/>
    <s v="aille du roue "/>
    <x v="0"/>
    <s v="réparation du fixation d'aile de roue "/>
    <s v="158214_x000a_158221"/>
    <n v="60"/>
    <n v="60"/>
    <x v="264"/>
    <m/>
    <m/>
    <x v="0"/>
    <x v="0"/>
  </r>
  <r>
    <d v="2021-02-11T00:00:00"/>
    <x v="4"/>
    <x v="1"/>
    <x v="3"/>
    <x v="4"/>
    <n v="24111"/>
    <s v="eclairage "/>
    <s v="des lampes "/>
    <x v="0"/>
    <s v="réparation d'eclairage et changement des lampes "/>
    <n v="158216"/>
    <n v="60"/>
    <n v="60"/>
    <x v="264"/>
    <m/>
    <m/>
    <x v="0"/>
    <x v="0"/>
  </r>
  <r>
    <d v="2021-02-12T00:00:00"/>
    <x v="8"/>
    <x v="3"/>
    <x v="6"/>
    <x v="8"/>
    <n v="24112"/>
    <s v="Entretien"/>
    <s v="vidange"/>
    <x v="0"/>
    <s v="vidange d'huile moyeur et changement des filtre a huile"/>
    <n v="158222"/>
    <n v="120"/>
    <n v="120"/>
    <x v="262"/>
    <m/>
    <m/>
    <x v="0"/>
    <x v="0"/>
  </r>
  <r>
    <d v="2021-02-16T00:00:00"/>
    <x v="17"/>
    <x v="5"/>
    <x v="11"/>
    <x v="15"/>
    <n v="24113"/>
    <s v="carosserie "/>
    <s v="peinture "/>
    <x v="0"/>
    <s v="peinture du face avant apres un accident avec camion du ste KARKACHI "/>
    <s v="158230_x000a_158234_x000a_158222_x000a_158227_x000a_158246_x000a_158245"/>
    <n v="1710"/>
    <n v="1710"/>
    <x v="265"/>
    <m/>
    <m/>
    <x v="0"/>
    <x v="0"/>
  </r>
  <r>
    <d v="2021-02-18T00:00:00"/>
    <x v="12"/>
    <x v="3"/>
    <x v="3"/>
    <x v="12"/>
    <n v="24114"/>
    <s v="eclairage "/>
    <s v="des lampes "/>
    <x v="0"/>
    <s v="réparation d'eclairage et changement des lampes"/>
    <n v="158237"/>
    <n v="120"/>
    <n v="120"/>
    <x v="266"/>
    <m/>
    <m/>
    <x v="0"/>
    <x v="0"/>
  </r>
  <r>
    <d v="2021-02-18T00:00:00"/>
    <x v="31"/>
    <x v="0"/>
    <x v="0"/>
    <x v="23"/>
    <n v="24116"/>
    <s v="Entretien"/>
    <s v="vidange"/>
    <x v="1"/>
    <s v="vidange d'huile moteur 15W40_x000a_417469 km"/>
    <n v="158241"/>
    <n v="60"/>
    <n v="60"/>
    <x v="266"/>
    <m/>
    <m/>
    <x v="0"/>
    <x v="0"/>
  </r>
  <r>
    <d v="2021-02-19T00:00:00"/>
    <x v="5"/>
    <x v="3"/>
    <x v="3"/>
    <x v="5"/>
    <n v="24115"/>
    <s v="fuite d'air"/>
    <s v="flexible percé"/>
    <x v="0"/>
    <s v="réparation du fuite d'air "/>
    <n v="158238"/>
    <n v="60"/>
    <n v="60"/>
    <x v="256"/>
    <m/>
    <m/>
    <x v="0"/>
    <x v="0"/>
  </r>
  <r>
    <d v="2021-02-20T00:00:00"/>
    <x v="16"/>
    <x v="1"/>
    <x v="5"/>
    <x v="14"/>
    <n v="24117"/>
    <s v="eclairage "/>
    <s v="des lampes "/>
    <x v="0"/>
    <s v="réparation d'eclairage "/>
    <n v="158242"/>
    <n v="60"/>
    <n v="60"/>
    <x v="267"/>
    <m/>
    <m/>
    <x v="0"/>
    <x v="0"/>
  </r>
  <r>
    <d v="2021-02-20T00:00:00"/>
    <x v="8"/>
    <x v="3"/>
    <x v="6"/>
    <x v="8"/>
    <n v="24132"/>
    <s v="fuite d'air "/>
    <s v="venteuse d'air de la cabine "/>
    <x v="0"/>
    <s v="changement du trois venteuse de suspention  cabine _x000a_sauf arriere gauche_x000a_réparation du fixation pare choc avant _x000a_réparation des element de suspention _x000a_changement du quatre pneu ref 315/80R22,5"/>
    <s v="158475_x000a_158469_x000a_158473_x000a_161374"/>
    <n v="1710"/>
    <n v="3990"/>
    <x v="260"/>
    <m/>
    <m/>
    <x v="0"/>
    <x v="0"/>
  </r>
  <r>
    <d v="2021-02-21T00:00:00"/>
    <x v="2"/>
    <x v="2"/>
    <x v="2"/>
    <x v="2"/>
    <n v="24118"/>
    <s v="electrique "/>
    <s v="afficheur de compteur "/>
    <x v="0"/>
    <s v="changement d'afficheur "/>
    <m/>
    <m/>
    <s v=""/>
    <x v="57"/>
    <m/>
    <m/>
    <x v="0"/>
    <x v="0"/>
  </r>
  <r>
    <d v="2021-02-22T00:00:00"/>
    <x v="0"/>
    <x v="0"/>
    <x v="0"/>
    <x v="0"/>
    <n v="24125"/>
    <s v="Entretien"/>
    <s v="vidange"/>
    <x v="1"/>
    <s v="vidange d'huile moteur changement des filtres_x000a_250178 km"/>
    <n v="158453"/>
    <n v="120"/>
    <n v="120"/>
    <x v="268"/>
    <m/>
    <m/>
    <x v="0"/>
    <x v="0"/>
  </r>
  <r>
    <d v="2021-02-22T00:00:00"/>
    <x v="11"/>
    <x v="3"/>
    <x v="3"/>
    <x v="11"/>
    <n v="24126"/>
    <s v="carosserie "/>
    <s v="accident "/>
    <x v="0"/>
    <s v="changement du retroveseur cote gauche endommage a cause d'un accident "/>
    <n v="158454"/>
    <n v="120"/>
    <n v="120"/>
    <x v="268"/>
    <m/>
    <m/>
    <x v="0"/>
    <x v="0"/>
  </r>
  <r>
    <d v="2021-02-22T00:00:00"/>
    <x v="26"/>
    <x v="2"/>
    <x v="15"/>
    <x v="2"/>
    <n v="24135"/>
    <s v="demarrage "/>
    <s v="démarreur "/>
    <x v="0"/>
    <s v="changement du démarreur complet _x000a_achat du laferaille _x000a_réparation du fuite d'huile changement du deux flexible d'huile d'huile hydraulique"/>
    <s v="158490_x000a_158484"/>
    <n v="1140"/>
    <n v="2850"/>
    <x v="269"/>
    <m/>
    <m/>
    <x v="0"/>
    <x v="0"/>
  </r>
  <r>
    <d v="2021-02-23T00:00:00"/>
    <x v="7"/>
    <x v="1"/>
    <x v="5"/>
    <x v="7"/>
    <n v="24127"/>
    <s v="eclairage "/>
    <s v="des lampes "/>
    <x v="0"/>
    <s v="réparation d'eclairege "/>
    <n v="158456"/>
    <n v="120"/>
    <n v="120"/>
    <x v="265"/>
    <m/>
    <m/>
    <x v="0"/>
    <x v="0"/>
  </r>
  <r>
    <d v="2021-02-24T00:00:00"/>
    <x v="17"/>
    <x v="5"/>
    <x v="11"/>
    <x v="15"/>
    <n v="24128"/>
    <s v="Entretien"/>
    <s v="vidange"/>
    <x v="1"/>
    <s v="vidange d'huile moteur et lavage graissage genarale d'engin_x000a_117468 km"/>
    <n v="158461"/>
    <n v="60"/>
    <n v="60"/>
    <x v="270"/>
    <m/>
    <m/>
    <x v="0"/>
    <x v="0"/>
  </r>
  <r>
    <d v="2021-02-24T00:00:00"/>
    <x v="9"/>
    <x v="5"/>
    <x v="7"/>
    <x v="9"/>
    <n v="24129"/>
    <s v="Entretien"/>
    <s v="vidange"/>
    <x v="1"/>
    <s v="vidange d'huile moteur et lavage graissage genarale d'engin_x000a_70455 km"/>
    <s v="158462_x000a_158470"/>
    <n v="60"/>
    <n v="60"/>
    <x v="270"/>
    <m/>
    <m/>
    <x v="0"/>
    <x v="0"/>
  </r>
  <r>
    <d v="2021-02-25T00:00:00"/>
    <x v="5"/>
    <x v="3"/>
    <x v="3"/>
    <x v="5"/>
    <n v="24130"/>
    <s v="démarrage "/>
    <s v="battrie de démarrage "/>
    <x v="0"/>
    <s v="changement du deux battrie d démarrage M15_x000a_réparaton du crevaison pneu par meche de raparation crevaison "/>
    <n v="158464"/>
    <n v="120"/>
    <n v="120"/>
    <x v="271"/>
    <m/>
    <m/>
    <x v="0"/>
    <x v="0"/>
  </r>
  <r>
    <d v="2021-02-26T00:00:00"/>
    <x v="2"/>
    <x v="2"/>
    <x v="2"/>
    <x v="2"/>
    <n v="24131"/>
    <s v="Entretien"/>
    <s v="vidange"/>
    <x v="2"/>
    <s v="vidange d'hile moteur 15W40"/>
    <n v="158468"/>
    <n v="60"/>
    <n v="60"/>
    <x v="272"/>
    <m/>
    <m/>
    <x v="0"/>
    <x v="0"/>
  </r>
  <r>
    <d v="2021-02-27T00:00:00"/>
    <x v="9"/>
    <x v="5"/>
    <x v="7"/>
    <x v="9"/>
    <n v="24133"/>
    <s v="carosserie "/>
    <s v="plaque signalitique"/>
    <x v="0"/>
    <s v="changement du plaque de limitatio vitesse "/>
    <n v="158474"/>
    <n v="30"/>
    <n v="30"/>
    <x v="260"/>
    <m/>
    <m/>
    <x v="0"/>
    <x v="0"/>
  </r>
  <r>
    <d v="2021-02-28T00:00:00"/>
    <x v="1"/>
    <x v="1"/>
    <x v="1"/>
    <x v="1"/>
    <n v="24134"/>
    <s v="suspension"/>
    <s v="des vis de fixation"/>
    <x v="0"/>
    <s v="réparation du probleme de fixation du plateau sur chassis _x000a_changement des vis de fixation par des brides des serrage "/>
    <n v="158476"/>
    <n v="570"/>
    <n v="570"/>
    <x v="269"/>
    <m/>
    <m/>
    <x v="0"/>
    <x v="0"/>
  </r>
  <r>
    <d v="2021-03-01T00:00:00"/>
    <x v="19"/>
    <x v="7"/>
    <x v="12"/>
    <x v="2"/>
    <n v="24124"/>
    <s v="culasse moteur"/>
    <s v="culasse endommagée"/>
    <x v="0"/>
    <s v="changement du culasse et du pochette roudaage avec des joint des injecteur _x000a_et joint culasse marque catrepillar _x000a_vidange d'huile moteur 15W40 2145 h_x000a_changement des filtre de gasoile et filtre a huile moteur _x000a_tarage des injecteur "/>
    <s v="159639_x000a_159630_x000a_159618_x000a_159479_x000a_158480"/>
    <n v="5700"/>
    <n v="10260"/>
    <x v="273"/>
    <m/>
    <m/>
    <x v="0"/>
    <x v="0"/>
  </r>
  <r>
    <d v="2021-03-02T00:00:00"/>
    <x v="29"/>
    <x v="2"/>
    <x v="16"/>
    <x v="2"/>
    <n v="24136"/>
    <s v="Entretien"/>
    <s v="vidange"/>
    <x v="1"/>
    <s v="vidange d'hile moteur et lavage graissage generale d'engin _x000a_réparation du fuite d'eau_x000a_22988 h"/>
    <n v="158485"/>
    <n v="120"/>
    <n v="120"/>
    <x v="274"/>
    <m/>
    <m/>
    <x v="0"/>
    <x v="0"/>
  </r>
  <r>
    <d v="2021-03-04T00:00:00"/>
    <x v="34"/>
    <x v="2"/>
    <x v="19"/>
    <x v="2"/>
    <n v="24123"/>
    <s v="bruit anormale au niveau du moteur thermique "/>
    <s v="des siege souppape "/>
    <x v="0"/>
    <s v="réparation des trois culasse et changement des sieges souppape et guides souppape _x000a_rectification des culmasse _x000a_changement du pochette joinnt et des souppape d'admission et d'echappement "/>
    <s v="159644_x000a_159635_x000a_159615_x000a_159609_x000a_159493_x000a_159457"/>
    <n v="3400"/>
    <n v="13600"/>
    <x v="275"/>
    <m/>
    <m/>
    <x v="0"/>
    <x v="0"/>
  </r>
  <r>
    <d v="2021-03-10T00:00:00"/>
    <x v="10"/>
    <x v="1"/>
    <x v="8"/>
    <x v="10"/>
    <n v="24144"/>
    <s v="refroidissement"/>
    <s v="thermocontact "/>
    <x v="0"/>
    <s v="changement du thermostat de refroidissement _x000a_déplacement a sté RENAULT TRUCK POUR la réparation du probleme d'injection de gazoil et probleme d'ccelerateur affiché sur tableau de bord  _x000a_changement du deux filtre a gazzoil "/>
    <s v="159631_x000a_159636_x000a_159632"/>
    <n v="1140"/>
    <n v="1140"/>
    <x v="276"/>
    <m/>
    <m/>
    <x v="0"/>
    <x v="0"/>
  </r>
  <r>
    <d v="2021-03-11T00:00:00"/>
    <x v="17"/>
    <x v="5"/>
    <x v="11"/>
    <x v="15"/>
    <n v="24137"/>
    <s v="fuite d'huile hydraulique "/>
    <s v="freinage"/>
    <x v="0"/>
    <s v="réparation du fuite d'huile et reglage de jeu de freinage "/>
    <n v="159611"/>
    <n v="570"/>
    <n v="570"/>
    <x v="277"/>
    <m/>
    <m/>
    <x v="0"/>
    <x v="0"/>
  </r>
  <r>
    <d v="2021-03-12T00:00:00"/>
    <x v="20"/>
    <x v="1"/>
    <x v="6"/>
    <x v="17"/>
    <n v="24138"/>
    <s v="eclairage "/>
    <s v="des lampes "/>
    <x v="0"/>
    <s v="réparation d'eclairae "/>
    <n v="159612"/>
    <n v="120"/>
    <n v="120"/>
    <x v="262"/>
    <m/>
    <m/>
    <x v="0"/>
    <x v="0"/>
  </r>
  <r>
    <d v="2021-03-12T00:00:00"/>
    <x v="20"/>
    <x v="1"/>
    <x v="6"/>
    <x v="17"/>
    <n v="24146"/>
    <s v="essieu avant "/>
    <s v="usure des pieces "/>
    <x v="0"/>
    <s v="changement du deux kit de réparation axes pivot endommage _x000a_et déplace l'essieu a ste itri tournage  pour dmonté sous presse _x000a_vidange d'huile moteur 15W40_x000a_changement du filtre a ahuiile _x000a_830900km"/>
    <n v="159640"/>
    <n v="2280"/>
    <n v="5700"/>
    <x v="278"/>
    <m/>
    <m/>
    <x v="0"/>
    <x v="0"/>
  </r>
  <r>
    <d v="2021-03-13T00:00:00"/>
    <x v="38"/>
    <x v="0"/>
    <x v="25"/>
    <x v="25"/>
    <n v="24139"/>
    <s v="refroidissement"/>
    <s v="radiateur "/>
    <x v="0"/>
    <s v="réparation du fuite d'eau et debouchage du circuit de refroidissement"/>
    <n v="159617"/>
    <n v="360"/>
    <n v="360"/>
    <x v="279"/>
    <m/>
    <m/>
    <x v="0"/>
    <x v="0"/>
  </r>
  <r>
    <d v="2021-03-15T00:00:00"/>
    <x v="8"/>
    <x v="3"/>
    <x v="6"/>
    <x v="8"/>
    <n v="24140"/>
    <s v="eclairage "/>
    <s v="des lampes "/>
    <x v="0"/>
    <s v="réparation d'eclairage "/>
    <n v="159620"/>
    <n v="120"/>
    <n v="120"/>
    <x v="276"/>
    <m/>
    <m/>
    <x v="0"/>
    <x v="0"/>
  </r>
  <r>
    <d v="2021-03-16T00:00:00"/>
    <x v="22"/>
    <x v="2"/>
    <x v="14"/>
    <x v="2"/>
    <n v="24141"/>
    <s v="Entretien"/>
    <s v="vidange"/>
    <x v="1"/>
    <s v="vidange d'huile moteur et lavage graissage generale d'engin _x000a_réparation du probleme de freinage _x000a_réparation du probleme  de charge battrie   1_x000a_11341 h"/>
    <n v="159622"/>
    <n v="570"/>
    <n v="570"/>
    <x v="280"/>
    <m/>
    <m/>
    <x v="0"/>
    <x v="0"/>
  </r>
  <r>
    <d v="2021-03-16T00:00:00"/>
    <x v="20"/>
    <x v="1"/>
    <x v="6"/>
    <x v="17"/>
    <n v="24142"/>
    <s v="pneu "/>
    <s v="crevaison pneu "/>
    <x v="0"/>
    <s v="réparation du crevaison pneu _x000a_reparation d'eclairage "/>
    <n v="159625"/>
    <n v="60"/>
    <n v="60"/>
    <x v="281"/>
    <m/>
    <m/>
    <x v="0"/>
    <x v="0"/>
  </r>
  <r>
    <d v="2021-03-17T00:00:00"/>
    <x v="7"/>
    <x v="1"/>
    <x v="5"/>
    <x v="7"/>
    <n v="24143"/>
    <s v="Entretien"/>
    <s v="vidange"/>
    <x v="1"/>
    <s v="vidange d'huile moteur 15W40_x000a_changement des filtres a huiles et filtres a gazoil _x000a_497268 km"/>
    <n v="159627"/>
    <n v="120"/>
    <n v="120"/>
    <x v="282"/>
    <m/>
    <m/>
    <x v="0"/>
    <x v="0"/>
  </r>
  <r>
    <d v="2021-03-18T00:00:00"/>
    <x v="12"/>
    <x v="3"/>
    <x v="3"/>
    <x v="12"/>
    <n v="24145"/>
    <s v="fuite d'air "/>
    <s v="tuyau percé"/>
    <x v="0"/>
    <s v="réparation du fuite d'air comprimée"/>
    <n v="159638"/>
    <n v="60"/>
    <n v="60"/>
    <x v="283"/>
    <m/>
    <m/>
    <x v="0"/>
    <x v="0"/>
  </r>
  <r>
    <d v="2021-03-22T00:00:00"/>
    <x v="17"/>
    <x v="5"/>
    <x v="11"/>
    <x v="15"/>
    <n v="24147"/>
    <s v="femeture des portes "/>
    <s v="probleme electrique "/>
    <x v="0"/>
    <s v="réparation du probleme electrique de fermeture et ouverture du portes d'engin"/>
    <n v="160454"/>
    <n v="360"/>
    <n v="360"/>
    <x v="278"/>
    <m/>
    <m/>
    <x v="0"/>
    <x v="0"/>
  </r>
  <r>
    <d v="2021-03-22T00:00:00"/>
    <x v="15"/>
    <x v="2"/>
    <x v="10"/>
    <x v="2"/>
    <n v="24148"/>
    <s v="moteur"/>
    <s v="mauvaise injection gazoil"/>
    <x v="0"/>
    <s v="réparation du probleme d'injection gazoil  "/>
    <n v="160455"/>
    <n v="120"/>
    <n v="120"/>
    <x v="278"/>
    <m/>
    <m/>
    <x v="0"/>
    <x v="0"/>
  </r>
  <r>
    <d v="2021-03-22T00:00:00"/>
    <x v="16"/>
    <x v="1"/>
    <x v="5"/>
    <x v="14"/>
    <n v="24150"/>
    <s v="fuite d'eau "/>
    <s v="durite d'eau "/>
    <x v="0"/>
    <s v="réparation du fuite de liquide de refroidissement _x000a_et vidange d'huile moteur et changement des filtres a huile et filtres gazoil _x000a_reparation du fuites d'air _x000a_596300 km"/>
    <n v="160456"/>
    <n v="180"/>
    <n v="180"/>
    <x v="278"/>
    <m/>
    <m/>
    <x v="0"/>
    <x v="0"/>
  </r>
  <r>
    <d v="2021-03-22T00:00:00"/>
    <x v="29"/>
    <x v="2"/>
    <x v="16"/>
    <x v="2"/>
    <n v="24266"/>
    <s v="fuiute d'huile "/>
    <s v="verin de levage "/>
    <x v="0"/>
    <s v="réparation du trois verin de levage "/>
    <s v="160495_x000a_160494"/>
    <n v="1710"/>
    <n v="5130"/>
    <x v="284"/>
    <m/>
    <m/>
    <x v="0"/>
    <x v="0"/>
  </r>
  <r>
    <d v="2021-03-24T00:00:00"/>
    <x v="10"/>
    <x v="1"/>
    <x v="8"/>
    <x v="10"/>
    <n v="24251"/>
    <s v="fuite d'air "/>
    <s v="tuyau percé"/>
    <x v="0"/>
    <s v="réparation du fuite d'air "/>
    <n v="160467"/>
    <n v="120"/>
    <n v="120"/>
    <x v="285"/>
    <m/>
    <m/>
    <x v="0"/>
    <x v="0"/>
  </r>
  <r>
    <d v="2021-03-26T00:00:00"/>
    <x v="15"/>
    <x v="2"/>
    <x v="10"/>
    <x v="2"/>
    <n v="24268"/>
    <s v="fuite d'huile hydraulique "/>
    <s v="distributeur hydraulkique"/>
    <x v="0"/>
    <s v="réparation du distributeur hydraulique de levage des verin _x000a_"/>
    <n v="160491"/>
    <m/>
    <m/>
    <x v="57"/>
    <m/>
    <m/>
    <x v="0"/>
    <x v="0"/>
  </r>
  <r>
    <d v="2021-03-27T00:00:00"/>
    <x v="6"/>
    <x v="4"/>
    <x v="4"/>
    <x v="6"/>
    <n v="24252"/>
    <s v="Entretien"/>
    <s v="vidange"/>
    <x v="0"/>
    <s v="entretien systematique a ste glabal engin _x000a_changement du deux jau de balai d'essuie glace "/>
    <s v="160473_x000a_161372"/>
    <n v="570"/>
    <n v="570"/>
    <x v="286"/>
    <m/>
    <m/>
    <x v="0"/>
    <x v="0"/>
  </r>
  <r>
    <d v="2021-03-27T00:00:00"/>
    <x v="8"/>
    <x v="3"/>
    <x v="6"/>
    <x v="8"/>
    <n v="24253"/>
    <s v="pneu "/>
    <s v="usure "/>
    <x v="0"/>
    <s v="changement du quatre pneu ref 315/80R22,5  "/>
    <n v="160475"/>
    <n v="180"/>
    <n v="180"/>
    <x v="286"/>
    <m/>
    <m/>
    <x v="0"/>
    <x v="0"/>
  </r>
  <r>
    <d v="2021-03-27T00:00:00"/>
    <x v="7"/>
    <x v="1"/>
    <x v="5"/>
    <x v="7"/>
    <n v="24254"/>
    <s v="Entretien"/>
    <s v="vidange"/>
    <x v="0"/>
    <s v="vidange d'huile du boite de vitesse  et pont arriere _x000a_         500245      km"/>
    <n v="160477"/>
    <n v="120"/>
    <n v="120"/>
    <x v="286"/>
    <m/>
    <m/>
    <x v="0"/>
    <x v="0"/>
  </r>
  <r>
    <d v="2021-03-29T00:00:00"/>
    <x v="20"/>
    <x v="1"/>
    <x v="6"/>
    <x v="17"/>
    <n v="24255"/>
    <s v="embrayage "/>
    <s v="pompe d'embrayage "/>
    <x v="0"/>
    <s v="changement du pompe d'embrayage superieur et purge du circuit d'huile _x000a_changement du filtre a air "/>
    <n v="160478"/>
    <n v="570"/>
    <n v="570"/>
    <x v="287"/>
    <m/>
    <m/>
    <x v="0"/>
    <x v="0"/>
  </r>
  <r>
    <d v="2021-03-29T00:00:00"/>
    <x v="20"/>
    <x v="1"/>
    <x v="6"/>
    <x v="17"/>
    <n v="24556"/>
    <s v="feu du stop"/>
    <s v="mano contact "/>
    <x v="0"/>
    <s v="répartion du probleme de feu de stop "/>
    <m/>
    <n v="120"/>
    <n v="120"/>
    <x v="238"/>
    <m/>
    <m/>
    <x v="0"/>
    <x v="0"/>
  </r>
  <r>
    <d v="2021-03-29T00:00:00"/>
    <x v="4"/>
    <x v="1"/>
    <x v="3"/>
    <x v="4"/>
    <n v="24557"/>
    <s v="pneu"/>
    <s v="crevaison pneu "/>
    <x v="0"/>
    <s v="reparation du crevaison pneu "/>
    <m/>
    <n v="30"/>
    <n v="30"/>
    <x v="238"/>
    <m/>
    <m/>
    <x v="0"/>
    <x v="0"/>
  </r>
  <r>
    <d v="2021-03-29T00:00:00"/>
    <x v="2"/>
    <x v="2"/>
    <x v="2"/>
    <x v="2"/>
    <n v="24258"/>
    <s v="démarrage "/>
    <s v="alternateur de charge battrie "/>
    <x v="0"/>
    <s v="réparationdu probleme d'alternateur de charge battrie "/>
    <n v="160484"/>
    <n v="240"/>
    <n v="240"/>
    <x v="238"/>
    <m/>
    <m/>
    <x v="0"/>
    <x v="0"/>
  </r>
  <r>
    <d v="2021-03-29T00:00:00"/>
    <x v="33"/>
    <x v="2"/>
    <x v="18"/>
    <x v="2"/>
    <n v="24259"/>
    <s v="tableu de bord "/>
    <s v="tableu de bord "/>
    <x v="0"/>
    <s v="réparation du probleme de tableau de bord "/>
    <m/>
    <n v="360"/>
    <n v="360"/>
    <x v="238"/>
    <m/>
    <m/>
    <x v="0"/>
    <x v="0"/>
  </r>
  <r>
    <d v="2021-03-30T00:00:00"/>
    <x v="12"/>
    <x v="3"/>
    <x v="3"/>
    <x v="12"/>
    <n v="24260"/>
    <s v="eclairage "/>
    <s v="des lampes "/>
    <x v="0"/>
    <s v="réparation d'eclairage et changement des lampes"/>
    <n v="160489"/>
    <n v="120"/>
    <n v="120"/>
    <x v="275"/>
    <m/>
    <m/>
    <x v="0"/>
    <x v="0"/>
  </r>
  <r>
    <d v="2021-03-30T00:00:00"/>
    <x v="11"/>
    <x v="3"/>
    <x v="3"/>
    <x v="11"/>
    <n v="24261"/>
    <s v="eclairage "/>
    <s v="des lampes "/>
    <x v="0"/>
    <s v="réparation declairage "/>
    <m/>
    <n v="60"/>
    <n v="60"/>
    <x v="275"/>
    <m/>
    <m/>
    <x v="0"/>
    <x v="0"/>
  </r>
  <r>
    <d v="2021-03-30T00:00:00"/>
    <x v="12"/>
    <x v="3"/>
    <x v="3"/>
    <x v="12"/>
    <n v="24271"/>
    <s v="eclairage "/>
    <s v="des lampes "/>
    <x v="0"/>
    <s v="réparation d'eclairage"/>
    <s v="160490_x000a_160051"/>
    <n v="60"/>
    <n v="60"/>
    <x v="275"/>
    <m/>
    <m/>
    <x v="0"/>
    <x v="0"/>
  </r>
  <r>
    <d v="2021-03-31T00:00:00"/>
    <x v="7"/>
    <x v="1"/>
    <x v="5"/>
    <x v="7"/>
    <n v="24262"/>
    <s v="fuite d'air "/>
    <s v="tuyau percé"/>
    <x v="0"/>
    <s v="réparation du fite d'air comprime"/>
    <n v="160053"/>
    <n v="120"/>
    <n v="120"/>
    <x v="275"/>
    <m/>
    <m/>
    <x v="0"/>
    <x v="0"/>
  </r>
  <r>
    <d v="2021-03-31T00:00:00"/>
    <x v="2"/>
    <x v="2"/>
    <x v="2"/>
    <x v="2"/>
    <n v="24269"/>
    <s v="eclairage "/>
    <s v="des lampes "/>
    <x v="0"/>
    <s v="réparation d'clairage "/>
    <n v="160494"/>
    <n v="60"/>
    <n v="60"/>
    <x v="288"/>
    <m/>
    <m/>
    <x v="0"/>
    <x v="0"/>
  </r>
  <r>
    <d v="2021-03-31T00:00:00"/>
    <x v="5"/>
    <x v="3"/>
    <x v="3"/>
    <x v="5"/>
    <n v="24270"/>
    <s v="Entretien"/>
    <s v="mise a niveau"/>
    <x v="0"/>
    <s v="mise a niveau d'huile moteur "/>
    <n v="160493"/>
    <n v="60"/>
    <n v="60"/>
    <x v="288"/>
    <m/>
    <m/>
    <x v="0"/>
    <x v="0"/>
  </r>
  <r>
    <d v="2021-04-01T00:00:00"/>
    <x v="4"/>
    <x v="1"/>
    <x v="3"/>
    <x v="4"/>
    <n v="24263"/>
    <s v="pneu "/>
    <s v="pneu percé"/>
    <x v="0"/>
    <s v="réparation du crevaison pneu"/>
    <n v="160"/>
    <n v="60"/>
    <n v="60"/>
    <x v="284"/>
    <m/>
    <m/>
    <x v="0"/>
    <x v="0"/>
  </r>
  <r>
    <d v="2021-04-01T00:00:00"/>
    <x v="18"/>
    <x v="1"/>
    <x v="5"/>
    <x v="16"/>
    <n v="24264"/>
    <s v="eclairage "/>
    <s v="des lampes "/>
    <x v="0"/>
    <s v="réparation d'eclairage _x000a_réparation du tachygraphe"/>
    <n v="160"/>
    <n v="120"/>
    <n v="120"/>
    <x v="284"/>
    <m/>
    <m/>
    <x v="0"/>
    <x v="0"/>
  </r>
  <r>
    <d v="2021-04-02T00:00:00"/>
    <x v="25"/>
    <x v="1"/>
    <x v="1"/>
    <x v="20"/>
    <n v="24265"/>
    <s v="embrayage "/>
    <s v="disque d'embrayage "/>
    <x v="0"/>
    <s v="répataion d'embrayage et changement du disque d'embrayage et plateau de serrage  et butée_x000a_réparation du problememe de charge battrie et changement d'alternateur de charge battrie _x000a_changement du mecanisme de frein de stationnement "/>
    <m/>
    <m/>
    <s v=""/>
    <x v="57"/>
    <m/>
    <m/>
    <x v="0"/>
    <x v="0"/>
  </r>
  <r>
    <d v="2021-04-02T00:00:00"/>
    <x v="23"/>
    <x v="13"/>
    <x v="26"/>
    <x v="26"/>
    <n v="24275"/>
    <s v="moteur"/>
    <s v="gaz d'echappement "/>
    <x v="0"/>
    <s v="réparation du probleme du gaz d'echappement "/>
    <n v="161"/>
    <n v="570"/>
    <n v="570"/>
    <x v="289"/>
    <m/>
    <m/>
    <x v="0"/>
    <x v="0"/>
  </r>
  <r>
    <d v="2021-04-03T00:00:00"/>
    <x v="26"/>
    <x v="13"/>
    <x v="26"/>
    <x v="26"/>
    <n v="24273"/>
    <s v="Entretien"/>
    <s v="vidange"/>
    <x v="1"/>
    <s v="vidange d'huile moteur _x000a_lavage et graissaged'engin _x000a_   641km"/>
    <n v="161059"/>
    <n v="120"/>
    <n v="120"/>
    <x v="290"/>
    <m/>
    <m/>
    <x v="0"/>
    <x v="0"/>
  </r>
  <r>
    <d v="2021-04-03T00:00:00"/>
    <x v="17"/>
    <x v="13"/>
    <x v="26"/>
    <x v="26"/>
    <n v="24281"/>
    <s v="freinage "/>
    <s v="huile de frein"/>
    <x v="0"/>
    <s v="mise a niveau d'huile de frein _x000a_réparation d'eclairage "/>
    <n v="161065"/>
    <n v="30"/>
    <n v="30"/>
    <x v="290"/>
    <m/>
    <m/>
    <x v="0"/>
    <x v="0"/>
  </r>
  <r>
    <d v="2021-04-04T00:00:00"/>
    <x v="2"/>
    <x v="2"/>
    <x v="2"/>
    <x v="2"/>
    <n v="24272"/>
    <s v="levage des fourches"/>
    <s v="des galet de rampe"/>
    <x v="0"/>
    <s v="changement des galet de rampe et réparation du fixation chaine"/>
    <n v="160"/>
    <n v="570"/>
    <n v="570"/>
    <x v="291"/>
    <m/>
    <m/>
    <x v="0"/>
    <x v="0"/>
  </r>
  <r>
    <d v="2021-04-04T00:00:00"/>
    <x v="21"/>
    <x v="13"/>
    <x v="26"/>
    <x v="26"/>
    <n v="24289"/>
    <s v="pneu"/>
    <s v="usure"/>
    <x v="0"/>
    <s v="changement du quatre pneu ref 27*10-12_x000a_23/9-10"/>
    <n v="161071"/>
    <n v="1140"/>
    <n v="1140"/>
    <x v="291"/>
    <m/>
    <m/>
    <x v="0"/>
    <x v="0"/>
  </r>
  <r>
    <d v="2021-04-05T00:00:00"/>
    <x v="19"/>
    <x v="13"/>
    <x v="26"/>
    <x v="26"/>
    <n v="24285"/>
    <s v="démarrage "/>
    <s v="battrie de démarrage "/>
    <x v="0"/>
    <s v="Changement du deux battrie de demarrage L5"/>
    <s v="161066_x000a_161069"/>
    <n v="60"/>
    <n v="60"/>
    <x v="292"/>
    <m/>
    <m/>
    <x v="0"/>
    <x v="0"/>
  </r>
  <r>
    <d v="2021-04-06T00:00:00"/>
    <x v="30"/>
    <x v="13"/>
    <x v="26"/>
    <x v="26"/>
    <n v="24278"/>
    <s v="Entretien"/>
    <s v="vidange"/>
    <x v="1"/>
    <s v="vidange d'huile moteur et lavage graissage generarale d'e,gin"/>
    <n v="161075"/>
    <n v="60"/>
    <n v="60"/>
    <x v="293"/>
    <m/>
    <m/>
    <x v="0"/>
    <x v="0"/>
  </r>
  <r>
    <d v="2021-04-06T00:00:00"/>
    <x v="8"/>
    <x v="13"/>
    <x v="26"/>
    <x v="26"/>
    <n v="24286"/>
    <s v="eclairage "/>
    <s v="des lampes "/>
    <x v="0"/>
    <s v="réparatiopn declairage et changement des lampes "/>
    <n v="161076"/>
    <n v="120"/>
    <n v="120"/>
    <x v="293"/>
    <m/>
    <m/>
    <x v="0"/>
    <x v="0"/>
  </r>
  <r>
    <d v="2021-04-06T00:00:00"/>
    <x v="26"/>
    <x v="2"/>
    <x v="15"/>
    <x v="2"/>
    <n v="24297"/>
    <s v="fuite du gazoil "/>
    <s v="pompe damorssage"/>
    <x v="0"/>
    <s v="réparation du fuite du gazoil et changement du pompe du gazooil et tuyau deg gazoil changement des galets de rampe"/>
    <n v="161358"/>
    <n v="1140"/>
    <n v="4560"/>
    <x v="294"/>
    <m/>
    <m/>
    <x v="0"/>
    <x v="0"/>
  </r>
  <r>
    <d v="2021-04-07T00:00:00"/>
    <x v="30"/>
    <x v="12"/>
    <x v="26"/>
    <x v="26"/>
    <n v="24280"/>
    <s v="freinage "/>
    <s v="plaqette de frein"/>
    <x v="0"/>
    <s v="réparation du probleme de frein et changement des plaquette de frein avant et des chappe de direction (chappe et plaquette usee récupere d'atelier )"/>
    <n v="161082"/>
    <n v="570"/>
    <n v="570"/>
    <x v="295"/>
    <m/>
    <m/>
    <x v="0"/>
    <x v="0"/>
  </r>
  <r>
    <d v="2021-04-07T00:00:00"/>
    <x v="26"/>
    <x v="13"/>
    <x v="26"/>
    <x v="26"/>
    <n v="24283"/>
    <s v="fuite du gazoil "/>
    <s v="pompe d'alimentation"/>
    <x v="0"/>
    <s v="réparation du fuite de gazoil et changement du pompe d'alimentation gazoil et des galet de rampe 8 galet "/>
    <m/>
    <m/>
    <e v="#REF!"/>
    <x v="57"/>
    <m/>
    <m/>
    <x v="0"/>
    <x v="0"/>
  </r>
  <r>
    <d v="2021-04-07T00:00:00"/>
    <x v="24"/>
    <x v="13"/>
    <x v="26"/>
    <x v="26"/>
    <n v="24287"/>
    <s v="pneu "/>
    <s v="usure des pneus"/>
    <x v="0"/>
    <s v="changement du quatre pneu ref 205/65r15_x000a_199300 km"/>
    <n v="161079"/>
    <n v="120"/>
    <n v="120"/>
    <x v="295"/>
    <m/>
    <m/>
    <x v="0"/>
    <x v="0"/>
  </r>
  <r>
    <d v="2021-04-08T00:00:00"/>
    <x v="14"/>
    <x v="13"/>
    <x v="26"/>
    <x v="26"/>
    <n v="24274"/>
    <s v="balayeuse "/>
    <s v="usure du brosse "/>
    <x v="0"/>
    <s v="changement du pack du brosse complet "/>
    <s v="161094_x000a_161092"/>
    <n v="1140"/>
    <n v="1140"/>
    <x v="296"/>
    <m/>
    <m/>
    <x v="0"/>
    <x v="0"/>
  </r>
  <r>
    <d v="2021-04-08T00:00:00"/>
    <x v="13"/>
    <x v="13"/>
    <x v="26"/>
    <x v="26"/>
    <n v="24276"/>
    <s v="fuite d'eau "/>
    <s v="durite d'eau "/>
    <x v="0"/>
    <s v="réparation du fuite d'eau et changement du tube d'echappement complet avec pot d'echappement _x000a_vidange d'huile moteur _x000a_  440928 km"/>
    <s v="161078_x000a_161088"/>
    <n v="1140"/>
    <n v="3420"/>
    <x v="297"/>
    <m/>
    <m/>
    <x v="0"/>
    <x v="0"/>
  </r>
  <r>
    <d v="2021-04-08T00:00:00"/>
    <x v="21"/>
    <x v="13"/>
    <x v="26"/>
    <x v="26"/>
    <n v="24279"/>
    <s v="démarrage "/>
    <s v="des cosses battrie "/>
    <x v="0"/>
    <s v="réparation du probleme de démarrage "/>
    <m/>
    <n v="120"/>
    <n v="120"/>
    <x v="297"/>
    <m/>
    <m/>
    <x v="0"/>
    <x v="0"/>
  </r>
  <r>
    <d v="2021-04-09T00:00:00"/>
    <x v="23"/>
    <x v="13"/>
    <x v="26"/>
    <x v="26"/>
    <n v="24277"/>
    <s v="reservoire gazoil"/>
    <s v="chaine de fixation"/>
    <x v="0"/>
    <s v="réparation du fixation du reservoire de gazoil"/>
    <m/>
    <n v="120"/>
    <n v="120"/>
    <x v="298"/>
    <m/>
    <m/>
    <x v="0"/>
    <x v="0"/>
  </r>
  <r>
    <d v="2021-04-09T00:00:00"/>
    <x v="3"/>
    <x v="13"/>
    <x v="26"/>
    <x v="26"/>
    <n v="24288"/>
    <s v="carosserie "/>
    <s v="essuie glace"/>
    <x v="0"/>
    <s v="changement du jeu du balai d'essuie glace  650mm"/>
    <n v="161091"/>
    <n v="30"/>
    <n v="30"/>
    <x v="298"/>
    <m/>
    <m/>
    <x v="0"/>
    <x v="0"/>
  </r>
  <r>
    <d v="2021-04-10T00:00:00"/>
    <x v="16"/>
    <x v="1"/>
    <x v="5"/>
    <x v="14"/>
    <n v="24284"/>
    <s v="fuite d'eau "/>
    <s v="radiateur "/>
    <x v="0"/>
    <s v="réparation du fuite d'eau et débouchage du radiateur et reinssage du circuit de refroidissement _x000a_réparation du pompe de gazoil _x000a_changemnt du pompe d'amorssage gazoil _x000a_changement des durite d'eau et d'huile moteur _x000a_vidange d'huuiile moteur _x000a_600764 km"/>
    <m/>
    <m/>
    <e v="#REF!"/>
    <x v="57"/>
    <m/>
    <m/>
    <x v="0"/>
    <x v="0"/>
  </r>
  <r>
    <d v="2021-04-10T00:00:00"/>
    <x v="38"/>
    <x v="0"/>
    <x v="25"/>
    <x v="25"/>
    <n v="24294"/>
    <s v="Entretien"/>
    <s v="vidange"/>
    <x v="0"/>
    <s v="vidange d'huile moteur et changement du_x000a_ filtre a huile 8200768927_x000a_ filtre  a gazoil 7701043620_x000a_163613 km"/>
    <n v="161351"/>
    <n v="120"/>
    <n v="120"/>
    <x v="296"/>
    <m/>
    <m/>
    <x v="0"/>
    <x v="0"/>
  </r>
  <r>
    <d v="2021-04-12T00:00:00"/>
    <x v="10"/>
    <x v="1"/>
    <x v="8"/>
    <x v="10"/>
    <n v="24292"/>
    <s v="eclairage "/>
    <s v="des lampes "/>
    <x v="0"/>
    <s v="réprationd d'eclairage "/>
    <m/>
    <n v="120"/>
    <n v="120"/>
    <x v="299"/>
    <m/>
    <m/>
    <x v="0"/>
    <x v="0"/>
  </r>
  <r>
    <d v="2021-04-14T00:00:00"/>
    <x v="23"/>
    <x v="3"/>
    <x v="6"/>
    <x v="18"/>
    <n v="24291"/>
    <s v="démarrage "/>
    <s v="des cosses battrie "/>
    <x v="0"/>
    <s v="réparation du probleme de démarrage et changeent des cosses battrie "/>
    <n v="161363"/>
    <n v="180"/>
    <n v="180"/>
    <x v="294"/>
    <m/>
    <m/>
    <x v="0"/>
    <x v="0"/>
  </r>
  <r>
    <d v="2021-04-14T00:00:00"/>
    <x v="12"/>
    <x v="3"/>
    <x v="3"/>
    <x v="12"/>
    <n v="24293"/>
    <s v="chassis "/>
    <s v="soudure "/>
    <x v="0"/>
    <s v="soudure du piece de fixation pneu secour "/>
    <m/>
    <n v="120"/>
    <n v="120"/>
    <x v="294"/>
    <m/>
    <m/>
    <x v="0"/>
    <x v="0"/>
  </r>
  <r>
    <d v="2021-04-14T00:00:00"/>
    <x v="18"/>
    <x v="1"/>
    <x v="5"/>
    <x v="16"/>
    <n v="24295"/>
    <s v="fuite d'air "/>
    <s v="klaxon ondommagée"/>
    <x v="0"/>
    <s v="réparation du fixation du klaxon "/>
    <m/>
    <n v="60"/>
    <n v="60"/>
    <x v="294"/>
    <m/>
    <m/>
    <x v="0"/>
    <x v="0"/>
  </r>
  <r>
    <d v="2021-04-14T00:00:00"/>
    <x v="22"/>
    <x v="2"/>
    <x v="14"/>
    <x v="2"/>
    <n v="24296"/>
    <s v="fuite d'huile hydraulique "/>
    <s v="flexible percé"/>
    <x v="0"/>
    <s v="réparation du felxible hydraulique et changement du kit réparation verin de levage ( changement du couppelle principale  adaptable )"/>
    <n v="161357"/>
    <n v="570"/>
    <n v="2280"/>
    <x v="300"/>
    <m/>
    <m/>
    <x v="0"/>
    <x v="0"/>
  </r>
  <r>
    <d v="2021-04-14T00:00:00"/>
    <x v="12"/>
    <x v="3"/>
    <x v="3"/>
    <x v="12"/>
    <s v="                                                                                                                                                                                                                                                                                                                                                                                                                                                                                                                                                                                                                                                                                                                                                                                                 "/>
    <s v="probleme electronique "/>
    <s v="commande frein moteur "/>
    <x v="0"/>
    <s v="réparation du probleme de frein moteur "/>
    <m/>
    <m/>
    <s v=""/>
    <x v="57"/>
    <m/>
    <m/>
    <x v="0"/>
    <x v="0"/>
  </r>
  <r>
    <d v="2021-04-16T00:00:00"/>
    <x v="10"/>
    <x v="13"/>
    <x v="26"/>
    <x v="26"/>
    <n v="24290"/>
    <s v="panne"/>
    <s v="fuite d'air comprimé"/>
    <x v="0"/>
    <s v="sortie pour déppanage du camion et réparation du fuite d'air comprimeee au niveau du circuit d'embrayage "/>
    <n v="161367"/>
    <n v="240"/>
    <n v="240"/>
    <x v="301"/>
    <m/>
    <m/>
    <x v="0"/>
    <x v="0"/>
  </r>
  <r>
    <d v="2021-04-17T00:00:00"/>
    <x v="20"/>
    <x v="1"/>
    <x v="6"/>
    <x v="17"/>
    <n v="24604"/>
    <s v="fuite d'air "/>
    <s v="tuyau percé"/>
    <x v="0"/>
    <s v="réparation du fuite d'air"/>
    <n v="161371"/>
    <n v="60"/>
    <n v="60"/>
    <x v="300"/>
    <m/>
    <m/>
    <x v="0"/>
    <x v="0"/>
  </r>
  <r>
    <d v="2021-04-18T00:00:00"/>
    <x v="5"/>
    <x v="3"/>
    <x v="3"/>
    <x v="5"/>
    <n v="24603"/>
    <s v="fuite d'eau "/>
    <s v="durite d'eau "/>
    <x v="0"/>
    <s v="réparation du fuite d'eau et changement du durte de liquide de refroidissement et changement du pip d'eau _x000a_réparation du fuite d'air comprimee _x000a_vidange d'huile moteur et changement des iltre a huile moteur _x000a_781300 km"/>
    <s v="161381_x000a_161383"/>
    <n v="855"/>
    <n v="2000"/>
    <x v="302"/>
    <m/>
    <m/>
    <x v="0"/>
    <x v="0"/>
  </r>
  <r>
    <d v="2021-04-19T00:00:00"/>
    <x v="22"/>
    <x v="2"/>
    <x v="14"/>
    <x v="2"/>
    <n v="24601"/>
    <s v="fuite d'eau "/>
    <s v="radiateur "/>
    <x v="0"/>
    <s v="réparationb et débouchage du rasdiatreur _x000a_peinture generale d'engin "/>
    <s v="161384_x000a_161379_x000a_161380"/>
    <m/>
    <e v="#VALUE!"/>
    <x v="57"/>
    <m/>
    <m/>
    <x v="0"/>
    <x v="0"/>
  </r>
  <r>
    <d v="2021-04-19T00:00:00"/>
    <x v="4"/>
    <x v="1"/>
    <x v="3"/>
    <x v="4"/>
    <n v="24605"/>
    <s v="Tachygraphe"/>
    <s v="renouvlement "/>
    <x v="0"/>
    <s v="renouvlement du certificat de tachygraphe"/>
    <n v="161375"/>
    <n v="120"/>
    <n v="120"/>
    <x v="303"/>
    <m/>
    <m/>
    <x v="0"/>
    <x v="0"/>
  </r>
  <r>
    <d v="2021-04-19T00:00:00"/>
    <x v="18"/>
    <x v="1"/>
    <x v="5"/>
    <x v="16"/>
    <n v="24606"/>
    <s v="Tachygraphe"/>
    <s v="réparation"/>
    <x v="0"/>
    <s v="réparation du tachygraphe"/>
    <n v="161376"/>
    <n v="120"/>
    <n v="120"/>
    <x v="303"/>
    <m/>
    <m/>
    <x v="0"/>
    <x v="0"/>
  </r>
  <r>
    <d v="2021-04-20T00:00:00"/>
    <x v="26"/>
    <x v="2"/>
    <x v="15"/>
    <x v="2"/>
    <n v="24615"/>
    <s v="carosserie "/>
    <s v="peinture "/>
    <x v="0"/>
    <s v="peinture generale d'engin et changement du joint du pompe d'eau et réparation _x000a_du rediateur et débouchage _x000a_changement du durite d'eau _x000a_réparation d'eclairage "/>
    <s v="162204_x000a_162212_x000a_162226_x000a_162217_x000a_162225_x000a_162220_x000a_162221"/>
    <n v="5700"/>
    <n v="7411"/>
    <x v="304"/>
    <m/>
    <m/>
    <x v="0"/>
    <x v="0"/>
  </r>
  <r>
    <d v="2021-04-20T00:00:00"/>
    <x v="34"/>
    <x v="2"/>
    <x v="19"/>
    <x v="2"/>
    <n v="24634"/>
    <s v="moteur thermique"/>
    <s v="bruit anormale"/>
    <x v="0"/>
    <s v="mise a point du moteur thermique et changement du groupe moteur et vilebrequine réquperé du moteur laferaille du sté KARKACHI  et réparration des culasse "/>
    <s v="161074_x000a_162232_x000a_162237_x000a_162604_x000a_162612_x000a_162614_x000a_162622_x000a_162634_x000a_162632"/>
    <n v="14800"/>
    <n v="14800"/>
    <x v="305"/>
    <m/>
    <m/>
    <x v="0"/>
    <x v="0"/>
  </r>
  <r>
    <d v="2021-04-21T00:00:00"/>
    <x v="10"/>
    <x v="1"/>
    <x v="8"/>
    <x v="10"/>
    <n v="24607"/>
    <s v="Entretien"/>
    <s v="mise a niveau"/>
    <x v="1"/>
    <s v="mise a niveau d'huile hydraulique du grue et boite de vtesse"/>
    <s v="161377_x000a_161382"/>
    <n v="120"/>
    <n v="120"/>
    <x v="306"/>
    <m/>
    <m/>
    <x v="0"/>
    <x v="0"/>
  </r>
  <r>
    <d v="2021-04-23T00:00:00"/>
    <x v="24"/>
    <x v="0"/>
    <x v="0"/>
    <x v="19"/>
    <n v="24608"/>
    <s v="Entretien"/>
    <s v="vidange"/>
    <x v="1"/>
    <s v="vidange d'huile moteur et changement du filtre a huile et filtre a gasoil_x000a_201250 km"/>
    <n v="161388"/>
    <n v="120"/>
    <n v="120"/>
    <x v="307"/>
    <m/>
    <m/>
    <x v="0"/>
    <x v="0"/>
  </r>
  <r>
    <d v="2021-04-26T00:00:00"/>
    <x v="4"/>
    <x v="1"/>
    <x v="3"/>
    <x v="4"/>
    <n v="24621"/>
    <s v="Entretien"/>
    <s v="mise a niveau"/>
    <x v="1"/>
    <s v="mise a niveau d'huil hydraulique AW68"/>
    <n v="1621398"/>
    <n v="60"/>
    <n v="60"/>
    <x v="308"/>
    <m/>
    <m/>
    <x v="0"/>
    <x v="0"/>
  </r>
  <r>
    <d v="2021-04-27T00:00:00"/>
    <x v="19"/>
    <x v="7"/>
    <x v="12"/>
    <x v="2"/>
    <n v="24609"/>
    <s v="carosserie "/>
    <s v="fixation du vitre  de porte "/>
    <x v="0"/>
    <s v="réparation du fixation du vitre de porte  cabinne"/>
    <n v="162202"/>
    <n v="120"/>
    <n v="120"/>
    <x v="309"/>
    <m/>
    <m/>
    <x v="0"/>
    <x v="0"/>
  </r>
  <r>
    <d v="2021-04-27T00:00:00"/>
    <x v="24"/>
    <x v="0"/>
    <x v="0"/>
    <x v="19"/>
    <n v="24610"/>
    <s v="embrayage "/>
    <s v="plateau de serrage "/>
    <x v="0"/>
    <s v="réparation du probleme d'embrayage et changement du kit d'embrayage complet disque et plateau ey butee _x000a_réparation du fixation du tole inferiieur du moteur _x000a_vidange d'huile du boite de vitesse"/>
    <s v="162203_x000a_161055"/>
    <n v="570"/>
    <n v="570"/>
    <x v="309"/>
    <m/>
    <m/>
    <x v="0"/>
    <x v="0"/>
  </r>
  <r>
    <d v="2021-04-27T00:00:00"/>
    <x v="3"/>
    <x v="1"/>
    <x v="3"/>
    <x v="3"/>
    <n v="24611"/>
    <s v="eclairage "/>
    <s v="des lampes "/>
    <x v="0"/>
    <s v="réparation du probleme d'eclairage "/>
    <n v="162205"/>
    <n v="120"/>
    <n v="120"/>
    <x v="309"/>
    <m/>
    <m/>
    <x v="0"/>
    <x v="0"/>
  </r>
  <r>
    <d v="2021-04-28T00:00:00"/>
    <x v="15"/>
    <x v="2"/>
    <x v="10"/>
    <x v="2"/>
    <n v="24613"/>
    <s v="Entretien"/>
    <s v="vidange"/>
    <x v="0"/>
    <s v="réparation du fuite d'huile et vidange d'huile moteur_x000a_netoyage souflage du filtre a air _x000a_64 h"/>
    <n v="162207"/>
    <n v="60"/>
    <n v="60"/>
    <x v="310"/>
    <m/>
    <m/>
    <x v="0"/>
    <x v="0"/>
  </r>
  <r>
    <d v="2021-04-28T00:00:00"/>
    <x v="33"/>
    <x v="2"/>
    <x v="18"/>
    <x v="2"/>
    <n v="24617"/>
    <s v="Entretien"/>
    <s v="vidange"/>
    <x v="0"/>
    <s v="vidange d'huile moteur 15W40_x000a_lavage et netoyage d'engin _x000a_souflage d filtre a air _x000a_2858 h"/>
    <n v="162209"/>
    <n v="60"/>
    <n v="60"/>
    <x v="310"/>
    <m/>
    <m/>
    <x v="0"/>
    <x v="0"/>
  </r>
  <r>
    <d v="2021-04-28T00:00:00"/>
    <x v="12"/>
    <x v="3"/>
    <x v="3"/>
    <x v="12"/>
    <n v="24612"/>
    <s v="eclairage "/>
    <s v="des lampes "/>
    <x v="0"/>
    <s v="réparation du probleme d'eclairage "/>
    <n v="162206"/>
    <n v="120"/>
    <n v="120"/>
    <x v="309"/>
    <m/>
    <m/>
    <x v="0"/>
    <x v="0"/>
  </r>
  <r>
    <d v="2021-04-28T00:00:00"/>
    <x v="8"/>
    <x v="3"/>
    <x v="6"/>
    <x v="8"/>
    <n v="24614"/>
    <s v="eclairage "/>
    <s v="des lampes "/>
    <x v="0"/>
    <s v="réparation du probleme d'eclairage "/>
    <m/>
    <n v="120"/>
    <n v="120"/>
    <x v="310"/>
    <m/>
    <m/>
    <x v="0"/>
    <x v="0"/>
  </r>
  <r>
    <d v="2021-04-29T00:00:00"/>
    <x v="5"/>
    <x v="3"/>
    <x v="3"/>
    <x v="5"/>
    <n v="24618"/>
    <s v="fuite d'air"/>
    <s v="tuyau percé"/>
    <x v="0"/>
    <s v="changement du tuyau d'air "/>
    <n v="162211"/>
    <n v="60"/>
    <n v="60"/>
    <x v="311"/>
    <m/>
    <m/>
    <x v="0"/>
    <x v="0"/>
  </r>
  <r>
    <d v="2021-04-29T00:00:00"/>
    <x v="6"/>
    <x v="4"/>
    <x v="4"/>
    <x v="6"/>
    <n v="24619"/>
    <s v="freinage "/>
    <s v="garniyure de frein"/>
    <x v="0"/>
    <s v="changement du jeu de garniture de frein _x000a_arrier et jeu de plaquette aavant marque adaptable _x000a_alesage des disque de frein avant _x000a_"/>
    <s v="162234_x000a_162216"/>
    <n v="1140"/>
    <n v="2850"/>
    <x v="304"/>
    <m/>
    <m/>
    <x v="0"/>
    <x v="0"/>
  </r>
  <r>
    <d v="2021-04-29T00:00:00"/>
    <x v="37"/>
    <x v="9"/>
    <x v="24"/>
    <x v="24"/>
    <n v="24645"/>
    <s v="moteur thermique"/>
    <s v="arrét d'huile "/>
    <x v="0"/>
    <s v="changemlent d'arréét d'huile moteur theramique et deux pneu avant et flectore +kit réparation du distributeur d'acceleration "/>
    <n v="162322"/>
    <n v="4560"/>
    <n v="6840"/>
    <x v="312"/>
    <m/>
    <m/>
    <x v="0"/>
    <x v="0"/>
  </r>
  <r>
    <d v="2021-04-30T00:00:00"/>
    <x v="2"/>
    <x v="2"/>
    <x v="2"/>
    <x v="2"/>
    <n v="24622"/>
    <s v="Entretien"/>
    <s v="filtre a air"/>
    <x v="1"/>
    <s v="changement du filtre a air collmaté "/>
    <n v="162219"/>
    <n v="60"/>
    <n v="60"/>
    <x v="313"/>
    <m/>
    <m/>
    <x v="0"/>
    <x v="0"/>
  </r>
  <r>
    <d v="2021-04-30T00:00:00"/>
    <x v="3"/>
    <x v="1"/>
    <x v="3"/>
    <x v="3"/>
    <n v="24625"/>
    <s v="carosserie "/>
    <s v="caise d'outillage "/>
    <x v="0"/>
    <s v="réparation et soudage et peinture du caissse d'outillage "/>
    <n v="164248"/>
    <n v="360"/>
    <n v="360"/>
    <x v="313"/>
    <m/>
    <m/>
    <x v="0"/>
    <x v="0"/>
  </r>
  <r>
    <d v="2021-05-03T00:00:00"/>
    <x v="16"/>
    <x v="1"/>
    <x v="5"/>
    <x v="14"/>
    <n v="24620"/>
    <s v="fuite d'huile hydraulique "/>
    <s v="flexible percé"/>
    <x v="0"/>
    <s v="sortie hors sté pour dépannage du camion et changeent d flexible hydraulique percé "/>
    <s v="162201_x000a_162233_x000a_162231"/>
    <n v="300"/>
    <n v="300"/>
    <x v="314"/>
    <m/>
    <m/>
    <x v="0"/>
    <x v="0"/>
  </r>
  <r>
    <d v="2021-05-05T00:00:00"/>
    <x v="16"/>
    <x v="1"/>
    <x v="5"/>
    <x v="14"/>
    <n v="24623"/>
    <s v="eclairage "/>
    <s v="des lampes "/>
    <x v="0"/>
    <s v="réparation d'eclairage "/>
    <n v="1622239"/>
    <n v="180"/>
    <n v="180"/>
    <x v="315"/>
    <m/>
    <m/>
    <x v="0"/>
    <x v="0"/>
  </r>
  <r>
    <d v="2021-05-06T00:00:00"/>
    <x v="10"/>
    <x v="1"/>
    <x v="8"/>
    <x v="10"/>
    <n v="24629"/>
    <s v="Entretien"/>
    <s v="vidange"/>
    <x v="0"/>
    <s v="réparation du fuite d'huile et vidange d'huile moteur_x000a_netoyage souflage du filtre a air _x000a_688900 km"/>
    <n v="162243"/>
    <n v="120"/>
    <n v="120"/>
    <x v="316"/>
    <m/>
    <m/>
    <x v="0"/>
    <x v="0"/>
  </r>
  <r>
    <d v="2021-05-06T00:00:00"/>
    <x v="3"/>
    <x v="1"/>
    <x v="3"/>
    <x v="3"/>
    <n v="24624"/>
    <s v="eclairage "/>
    <s v="des lampes "/>
    <x v="0"/>
    <s v="réparation d'eclairage "/>
    <n v="162242"/>
    <n v="60"/>
    <n v="60"/>
    <x v="316"/>
    <m/>
    <m/>
    <x v="0"/>
    <x v="0"/>
  </r>
  <r>
    <d v="2021-05-06T00:00:00"/>
    <x v="23"/>
    <x v="3"/>
    <x v="6"/>
    <x v="18"/>
    <n v="24627"/>
    <s v="démarrage "/>
    <s v="démarreur"/>
    <x v="0"/>
    <s v="changeent dui jeu des bagues et charbon pour démarreur _x000a_changement de deux reais démarrauer adaptable _x000a_réparation d'eclairage "/>
    <s v="162606_x000a_162629"/>
    <n v="1140"/>
    <n v="2800"/>
    <x v="317"/>
    <m/>
    <m/>
    <x v="0"/>
    <x v="0"/>
  </r>
  <r>
    <d v="2021-05-07T00:00:00"/>
    <x v="17"/>
    <x v="5"/>
    <x v="11"/>
    <x v="15"/>
    <n v="24630"/>
    <s v="eclairage "/>
    <s v="des lampes "/>
    <x v="0"/>
    <s v="réparation d'eclaierage"/>
    <n v="162247"/>
    <n v="120"/>
    <n v="120"/>
    <x v="318"/>
    <m/>
    <m/>
    <x v="0"/>
    <x v="0"/>
  </r>
  <r>
    <d v="2021-05-10T00:00:00"/>
    <x v="7"/>
    <x v="1"/>
    <x v="5"/>
    <x v="7"/>
    <n v="24650"/>
    <s v="Transmission"/>
    <s v="couple conique "/>
    <x v="0"/>
    <s v="changement du kit d'embrayage complet _x000a_changment des pieces du carosserie des feu laterale _x000a_et des feu rouge arriere _x000a_deux retroveseur +arréet de'huile moteur coté arriere _x000a_butée d'embrayage _x000a_réparation du coouple conique (récuperation des pieces du laferaile d'atelier ) _x000a_changement des optiques avant _x000a_deux feu rouge arriere _x000a_vidange d'huile du pont arriere +boite de vitesse +et huile moteur _x000a_changement du deux retroveseur _x000a_peinture genarale d'engin _x000a_509937 km"/>
    <s v="162631_x000a_162633_x000a_162624_x000a_162624_x000a_163604_x000a_163633_x000a_163604_x000a_163612_x000a_163634_x000a_163626_x000a_163637_x000a_163629_x000a_163641_x000a_163640_x000a_163606"/>
    <n v="9600"/>
    <n v="14800"/>
    <x v="319"/>
    <m/>
    <m/>
    <x v="0"/>
    <x v="0"/>
  </r>
  <r>
    <d v="2021-05-11T00:00:00"/>
    <x v="2"/>
    <x v="2"/>
    <x v="2"/>
    <x v="2"/>
    <n v="23269"/>
    <s v="démarrage "/>
    <s v="circuit de gasoil  "/>
    <x v="0"/>
    <s v="montage du pompe d'allimentation de gasoil electrique 12v_x000a_"/>
    <n v="147744"/>
    <n v="570"/>
    <n v="570"/>
    <x v="111"/>
    <m/>
    <m/>
    <x v="0"/>
    <x v="0"/>
  </r>
  <r>
    <d v="2021-05-17T00:00:00"/>
    <x v="4"/>
    <x v="1"/>
    <x v="3"/>
    <x v="4"/>
    <n v="24624"/>
    <s v="Entretien"/>
    <s v="fuite d'air comprimé"/>
    <x v="0"/>
    <s v="réparation du fuite d'huiile _x000a_lavage et graissage genarale d'engin _x000a_"/>
    <m/>
    <n v="570"/>
    <n v="570"/>
    <x v="320"/>
    <m/>
    <m/>
    <x v="0"/>
    <x v="0"/>
  </r>
  <r>
    <d v="2021-05-17T00:00:00"/>
    <x v="1"/>
    <x v="1"/>
    <x v="1"/>
    <x v="1"/>
    <n v="24632"/>
    <s v="fuite d'eau "/>
    <s v="radiateur "/>
    <x v="0"/>
    <s v="changement d'essieu avant achat du l'aferaille "/>
    <s v="162625_x000a_162630"/>
    <n v="1140"/>
    <n v="2280"/>
    <x v="321"/>
    <m/>
    <m/>
    <x v="0"/>
    <x v="0"/>
  </r>
  <r>
    <d v="2021-05-17T00:00:00"/>
    <x v="23"/>
    <x v="3"/>
    <x v="6"/>
    <x v="18"/>
    <n v="24633"/>
    <s v="fuite du gasoil "/>
    <s v="tuyau du gasoil "/>
    <x v="0"/>
    <s v="changement du tuyau du gasoil et des joint des injecteurs _x000a_changement du deux tuyau spirale pour remorquage _x000a_et cable de remorquage et ceinture du reservoire gazoil _x000a_changement du pompe d'eau originale "/>
    <s v="163648_x000a_163647_x000a_163616_x000a_163611_x000a_163605_x000a_163601"/>
    <n v="5700"/>
    <n v="10260"/>
    <x v="319"/>
    <m/>
    <m/>
    <x v="0"/>
    <x v="0"/>
  </r>
  <r>
    <d v="2021-05-18T00:00:00"/>
    <x v="3"/>
    <x v="1"/>
    <x v="3"/>
    <x v="3"/>
    <n v="24628"/>
    <s v="Entretien"/>
    <s v="fuite d'air comprimé"/>
    <x v="0"/>
    <s v="réparation du fuite d'huiile _x000a_lavage et graissage genarale d'engin _x000a_"/>
    <m/>
    <n v="570"/>
    <n v="570"/>
    <x v="322"/>
    <m/>
    <m/>
    <x v="0"/>
    <x v="0"/>
  </r>
  <r>
    <d v="2021-05-18T00:00:00"/>
    <x v="10"/>
    <x v="1"/>
    <x v="8"/>
    <x v="10"/>
    <n v="24636"/>
    <s v="eclairage "/>
    <s v="des lampes "/>
    <x v="0"/>
    <s v="réparation d'eclairage "/>
    <n v="1622620"/>
    <n v="120"/>
    <n v="120"/>
    <x v="323"/>
    <m/>
    <m/>
    <x v="0"/>
    <x v="0"/>
  </r>
  <r>
    <d v="2021-05-18T00:00:00"/>
    <x v="19"/>
    <x v="7"/>
    <x v="12"/>
    <x v="2"/>
    <n v="24637"/>
    <s v="gaz dechappement "/>
    <s v="injection gasoil "/>
    <x v="0"/>
    <s v="réparation du probleme d'ijection gasoil _x000a_reglage du jeu de souppape changement du filtre a gasoil _x000a_changement du joint collecteur d'echappement _x000a_vidange d'huile moteur 15W40_x000a_2329h"/>
    <n v="162621"/>
    <n v="570"/>
    <n v="570"/>
    <x v="323"/>
    <m/>
    <m/>
    <x v="0"/>
    <x v="0"/>
  </r>
  <r>
    <d v="2021-05-19T00:00:00"/>
    <x v="28"/>
    <x v="2"/>
    <x v="13"/>
    <x v="2"/>
    <n v="24638"/>
    <s v="Entretien"/>
    <s v="vidange"/>
    <x v="0"/>
    <s v="vidange d'huile moteur 15W40 _x000a_25572 h"/>
    <n v="162627"/>
    <n v="30"/>
    <n v="30"/>
    <x v="322"/>
    <m/>
    <m/>
    <x v="0"/>
    <x v="0"/>
  </r>
  <r>
    <d v="2021-05-20T00:00:00"/>
    <x v="17"/>
    <x v="5"/>
    <x v="11"/>
    <x v="15"/>
    <n v="24639"/>
    <s v="frinage "/>
    <s v="huile de frein a basse niveau"/>
    <x v="0"/>
    <s v="mise a niveau d'huile de frein a cause du fuite au niveau des master de frein "/>
    <s v="162626_x000a_161394"/>
    <n v="30"/>
    <n v="30"/>
    <x v="305"/>
    <m/>
    <m/>
    <x v="0"/>
    <x v="0"/>
  </r>
  <r>
    <d v="2021-05-23T00:00:00"/>
    <x v="17"/>
    <x v="5"/>
    <x v="11"/>
    <x v="15"/>
    <n v="24641"/>
    <s v="freinage "/>
    <s v="garniyure de frein"/>
    <x v="0"/>
    <s v="changement du deux jeu de garnirure de frein _x000a_des master de frein avant _x000a_des arrét de graisse moyeu de roue  _x000a_deux jeu des roullement du mmoyeu de roue coté gauche _x000a_"/>
    <s v="163630_x000a_163638"/>
    <n v="3420"/>
    <n v="6270"/>
    <x v="324"/>
    <m/>
    <m/>
    <x v="0"/>
    <x v="0"/>
  </r>
  <r>
    <d v="2021-05-24T00:00:00"/>
    <x v="18"/>
    <x v="1"/>
    <x v="5"/>
    <x v="16"/>
    <n v="25007"/>
    <s v="Entretien"/>
    <s v="vidange"/>
    <x v="1"/>
    <s v="vidange d'huile moteur 15W40_x000a_lavage et graissage generale d'engin _x000a_809207 km"/>
    <n v="162646"/>
    <n v="120"/>
    <n v="120"/>
    <x v="325"/>
    <m/>
    <m/>
    <x v="0"/>
    <x v="0"/>
  </r>
  <r>
    <d v="2021-05-24T00:00:00"/>
    <x v="17"/>
    <x v="5"/>
    <x v="11"/>
    <x v="15"/>
    <n v="25005"/>
    <s v="carosserie "/>
    <s v="essuie glace"/>
    <x v="0"/>
    <s v="changement du jeu du balai d'essuie glace _x000a_changement du deux bras de baai d'essuie glace "/>
    <n v="162638"/>
    <n v="240"/>
    <n v="240"/>
    <x v="326"/>
    <m/>
    <m/>
    <x v="0"/>
    <x v="0"/>
  </r>
  <r>
    <d v="2021-05-25T00:00:00"/>
    <x v="19"/>
    <x v="7"/>
    <x v="12"/>
    <x v="2"/>
    <n v="25004"/>
    <s v="bruit au niveu du moteur thermique "/>
    <s v="des injecteurs "/>
    <x v="0"/>
    <s v="réparation du problem d'injection gasoil et tarage des injecteurs et regulateur d'injection gasoil changement des joint d'injecteur _x000a_changement des filtre a gasoil et filtre a huile et vidange d'huiile moteur _x000a_       h"/>
    <s v="164553_x000a_164559_x000a_164568_x000a_164568_x000a_164571_x000a_164574"/>
    <n v="3420"/>
    <n v="7410"/>
    <x v="327"/>
    <m/>
    <m/>
    <x v="0"/>
    <x v="0"/>
  </r>
  <r>
    <d v="2021-05-25T00:00:00"/>
    <x v="22"/>
    <x v="2"/>
    <x v="14"/>
    <x v="2"/>
    <n v="25006"/>
    <s v="pneu "/>
    <s v="crevaison pneu "/>
    <x v="0"/>
    <s v="réparation du crevaison pneu et changement du chambre  a air "/>
    <n v="162643"/>
    <n v="1140"/>
    <n v="1140"/>
    <x v="328"/>
    <m/>
    <m/>
    <x v="0"/>
    <x v="0"/>
  </r>
  <r>
    <d v="2021-05-26T00:00:00"/>
    <x v="32"/>
    <x v="2"/>
    <x v="2"/>
    <x v="2"/>
    <n v="24642"/>
    <s v="Entretien"/>
    <s v="vidange"/>
    <x v="1"/>
    <s v="vidange d'huile moteur 15W40_x000a_souflage du filtre a air _x000a_graissage generale d'engin _x000a_35039 h"/>
    <n v="163602"/>
    <n v="60"/>
    <n v="60"/>
    <x v="328"/>
    <m/>
    <m/>
    <x v="0"/>
    <x v="0"/>
  </r>
  <r>
    <d v="2021-05-26T00:00:00"/>
    <x v="19"/>
    <x v="7"/>
    <x v="12"/>
    <x v="2"/>
    <n v="25008"/>
    <s v="fixation d'axe du godet "/>
    <s v="des vis de fixation "/>
    <x v="0"/>
    <s v="réparation du probleme de fixation d'axe de ggodet de charge "/>
    <n v="164647"/>
    <n v="240"/>
    <n v="240"/>
    <x v="328"/>
    <m/>
    <m/>
    <x v="0"/>
    <x v="0"/>
  </r>
  <r>
    <d v="2021-05-27T00:00:00"/>
    <x v="10"/>
    <x v="1"/>
    <x v="8"/>
    <x v="10"/>
    <n v="24649"/>
    <s v="bruit au niveau du boite vitesse "/>
    <s v="des roulllement usee"/>
    <x v="0"/>
    <s v="démontage du boite de vbitesse pour réparation du bruit anormale _x000a_et changement du deux arrét dd'huile du boite de vitesse et roullement endommage achat des pieces adaptable changement du deux jeu de plaquette de frein kit fourchette d'embrayage et selecteur de vitesse achat du laferaille _x000a_vidange d'huile de boite de vitesse"/>
    <s v="163621_x000a_163619_x000a_164903_x000a_164625_x000a_164589_x000a_164582_x000a_164637_x000a_16457_x000a_164637_x000a_164570_x000a_164557"/>
    <n v="5700"/>
    <n v="12540"/>
    <x v="329"/>
    <m/>
    <m/>
    <x v="0"/>
    <x v="0"/>
  </r>
  <r>
    <d v="2021-05-27T00:00:00"/>
    <x v="20"/>
    <x v="1"/>
    <x v="6"/>
    <x v="17"/>
    <n v="24643"/>
    <s v="fuite d'air "/>
    <s v="flexible percé"/>
    <x v="0"/>
    <s v="sortie avec camion pour répare et change leur flexible percé"/>
    <n v="163606"/>
    <n v="240"/>
    <n v="240"/>
    <x v="330"/>
    <m/>
    <m/>
    <x v="0"/>
    <x v="0"/>
  </r>
  <r>
    <d v="2021-05-29T00:00:00"/>
    <x v="16"/>
    <x v="1"/>
    <x v="5"/>
    <x v="14"/>
    <n v="24646"/>
    <s v="Entretien"/>
    <s v="vidange"/>
    <x v="1"/>
    <s v="vidange d'huile moteur 15W40_x000a_souflage du filtre a air _x000a_graissage generale d'engin _x000a_610300 km"/>
    <n v="163613"/>
    <n v="60"/>
    <n v="60"/>
    <x v="331"/>
    <m/>
    <m/>
    <x v="0"/>
    <x v="0"/>
  </r>
  <r>
    <d v="2021-05-29T00:00:00"/>
    <x v="25"/>
    <x v="1"/>
    <x v="1"/>
    <x v="20"/>
    <n v="24644"/>
    <s v="démarrage "/>
    <s v="battrie de démarrage "/>
    <x v="0"/>
    <s v="changement du deux battrie de démarrage H3  12V"/>
    <n v="163610"/>
    <n v="60"/>
    <n v="60"/>
    <x v="331"/>
    <m/>
    <m/>
    <x v="0"/>
    <x v="0"/>
  </r>
  <r>
    <d v="2021-05-29T00:00:00"/>
    <x v="22"/>
    <x v="2"/>
    <x v="14"/>
    <x v="2"/>
    <n v="24647"/>
    <s v="fuite d'huile hydraulique "/>
    <s v="flexible percé"/>
    <x v="0"/>
    <s v="réparation et changement du flexible percé"/>
    <n v="163615"/>
    <n v="60"/>
    <n v="60"/>
    <x v="331"/>
    <m/>
    <m/>
    <x v="0"/>
    <x v="0"/>
  </r>
  <r>
    <d v="2021-05-29T00:00:00"/>
    <x v="11"/>
    <x v="3"/>
    <x v="3"/>
    <x v="11"/>
    <n v="24648"/>
    <s v="eclairage "/>
    <s v="des lampes "/>
    <x v="0"/>
    <s v="réparation d'eclairage et changement des lampes défectueuse"/>
    <n v="163617"/>
    <n v="60"/>
    <n v="60"/>
    <x v="331"/>
    <m/>
    <m/>
    <x v="0"/>
    <x v="0"/>
  </r>
  <r>
    <d v="2021-05-31T00:00:00"/>
    <x v="9"/>
    <x v="5"/>
    <x v="7"/>
    <x v="9"/>
    <n v="25002"/>
    <s v="Entretien"/>
    <s v="vidange"/>
    <x v="0"/>
    <s v="vidange d'huile moteur 15W40_x000a_souflage du filtre a air _x000a_graissage generale d'engin _x000a_84700 km"/>
    <n v="163623"/>
    <n v="60"/>
    <n v="60"/>
    <x v="332"/>
    <m/>
    <m/>
    <x v="0"/>
    <x v="0"/>
  </r>
  <r>
    <d v="2021-05-31T00:00:00"/>
    <x v="8"/>
    <x v="3"/>
    <x v="6"/>
    <x v="8"/>
    <n v="25001"/>
    <s v="eclairage "/>
    <s v="des lampes "/>
    <x v="0"/>
    <s v="réparation declairage "/>
    <n v="1636624"/>
    <n v="60"/>
    <n v="60"/>
    <x v="332"/>
    <m/>
    <m/>
    <x v="0"/>
    <x v="0"/>
  </r>
  <r>
    <d v="2021-06-04T00:00:00"/>
    <x v="6"/>
    <x v="4"/>
    <x v="4"/>
    <x v="6"/>
    <n v="25003"/>
    <s v="eclairage "/>
    <s v="des lampes "/>
    <x v="0"/>
    <s v="réparation du probleme de feu de stop "/>
    <n v="163636"/>
    <n v="60"/>
    <n v="119285"/>
    <x v="332"/>
    <m/>
    <m/>
    <x v="0"/>
    <x v="0"/>
  </r>
  <r>
    <d v="2021-06-09T00:00:00"/>
    <x v="26"/>
    <x v="2"/>
    <x v="15"/>
    <x v="2"/>
    <n v="25012"/>
    <s v="démarrage "/>
    <s v="alternateur de charge battrie "/>
    <x v="0"/>
    <s v="changement d'alternateur de charge battriie achat neuf "/>
    <n v="164586"/>
    <n v="570"/>
    <n v="3990"/>
    <x v="333"/>
    <m/>
    <m/>
    <x v="0"/>
    <x v="0"/>
  </r>
  <r>
    <d v="2021-06-12T00:00:00"/>
    <x v="11"/>
    <x v="3"/>
    <x v="3"/>
    <x v="11"/>
    <n v="25009"/>
    <s v="eclairage "/>
    <s v="des lampes "/>
    <x v="0"/>
    <s v="réparation d'eclairege "/>
    <n v="164564"/>
    <n v="120"/>
    <n v="120"/>
    <x v="319"/>
    <m/>
    <m/>
    <x v="0"/>
    <x v="0"/>
  </r>
  <r>
    <d v="2021-06-13T00:00:00"/>
    <x v="8"/>
    <x v="3"/>
    <x v="6"/>
    <x v="8"/>
    <n v="25010"/>
    <s v="Entretien"/>
    <s v="vidange"/>
    <x v="1"/>
    <s v="vidanghe d'huile moteur 15W40_x000a_lavage et graisage genarale d'engin _x000a_748600 km"/>
    <n v="164573"/>
    <n v="60"/>
    <n v="60"/>
    <x v="334"/>
    <m/>
    <m/>
    <x v="0"/>
    <x v="0"/>
  </r>
  <r>
    <d v="2021-06-14T00:00:00"/>
    <x v="16"/>
    <x v="1"/>
    <x v="5"/>
    <x v="14"/>
    <n v="25011"/>
    <s v="eclairage "/>
    <s v="des lampes "/>
    <x v="0"/>
    <s v="réparation d'eclairege "/>
    <n v="164575"/>
    <n v="60"/>
    <n v="60"/>
    <x v="335"/>
    <m/>
    <m/>
    <x v="0"/>
    <x v="0"/>
  </r>
  <r>
    <d v="2021-06-14T00:00:00"/>
    <x v="9"/>
    <x v="5"/>
    <x v="7"/>
    <x v="9"/>
    <n v="25019"/>
    <s v="carosserie "/>
    <s v="peinture "/>
    <x v="0"/>
    <s v="peinture du coté arriere pare choc et capot arriere a cause d'un accident "/>
    <n v="164902"/>
    <n v="1710"/>
    <n v="1710"/>
    <x v="336"/>
    <m/>
    <m/>
    <x v="0"/>
    <x v="0"/>
  </r>
  <r>
    <d v="2021-06-16T00:00:00"/>
    <x v="2"/>
    <x v="2"/>
    <x v="2"/>
    <x v="2"/>
    <n v="25017"/>
    <s v="marche avant arriere"/>
    <s v="varieteur de commande "/>
    <x v="0"/>
    <s v="changement du variateur de comande marche avant arriere "/>
    <n v="1646593"/>
    <n v="120"/>
    <n v="570"/>
    <x v="336"/>
    <m/>
    <m/>
    <x v="0"/>
    <x v="0"/>
  </r>
  <r>
    <d v="2021-06-17T00:00:00"/>
    <x v="11"/>
    <x v="3"/>
    <x v="3"/>
    <x v="11"/>
    <n v="25013"/>
    <s v="Entretien"/>
    <s v="vidange"/>
    <x v="1"/>
    <s v=" vidanghe d'huile moteur 15W40_x000a_lavage et graisage genarale d'engin_x000a_réparation du probleme d'inection gasoil  au niveau du filtre a gasoil (separateur d'eau )_x000a_279800 km"/>
    <n v="164588"/>
    <n v="180"/>
    <n v="180"/>
    <x v="336"/>
    <m/>
    <m/>
    <x v="0"/>
    <x v="0"/>
  </r>
  <r>
    <d v="2021-06-17T00:00:00"/>
    <x v="0"/>
    <x v="0"/>
    <x v="0"/>
    <x v="0"/>
    <n v="25014"/>
    <s v="démarrage "/>
    <s v="battrie de démarrage "/>
    <x v="0"/>
    <s v="changement du battrie de démarrage l3 12v"/>
    <n v="164500"/>
    <n v="60"/>
    <n v="60"/>
    <x v="336"/>
    <m/>
    <m/>
    <x v="0"/>
    <x v="0"/>
  </r>
  <r>
    <d v="2021-06-17T00:00:00"/>
    <x v="12"/>
    <x v="3"/>
    <x v="3"/>
    <x v="12"/>
    <n v="25015"/>
    <s v="demarrage "/>
    <s v="battrie de démarrage "/>
    <x v="0"/>
    <s v="changement du deux battrie de démarrage 15V L5"/>
    <n v="164591"/>
    <n v="120"/>
    <n v="120"/>
    <x v="336"/>
    <m/>
    <m/>
    <x v="0"/>
    <x v="0"/>
  </r>
  <r>
    <d v="2021-06-17T00:00:00"/>
    <x v="39"/>
    <x v="7"/>
    <x v="12"/>
    <x v="2"/>
    <n v="25016"/>
    <s v="demarrage "/>
    <s v="battrie de démarrage "/>
    <x v="0"/>
    <s v="changement du deux battrie de démarrage 12V L5"/>
    <n v="164592"/>
    <n v="60"/>
    <n v="60"/>
    <x v="336"/>
    <m/>
    <m/>
    <x v="0"/>
    <x v="0"/>
  </r>
  <r>
    <d v="2021-06-19T00:00:00"/>
    <x v="3"/>
    <x v="1"/>
    <x v="3"/>
    <x v="3"/>
    <n v="25018"/>
    <s v="démarrage "/>
    <s v="injection gasoil "/>
    <x v="0"/>
    <s v="réparation du probleme d'injection gasoil et changement du pré filtre a gasoil a cause du melange d'eau avec gazoil "/>
    <n v="164901"/>
    <n v="570"/>
    <n v="570"/>
    <x v="337"/>
    <m/>
    <m/>
    <x v="0"/>
    <x v="0"/>
  </r>
  <r>
    <d v="2021-06-21T00:00:00"/>
    <x v="39"/>
    <x v="7"/>
    <x v="12"/>
    <x v="2"/>
    <n v="25020"/>
    <s v="réparation crevaison"/>
    <s v="pneu percé"/>
    <x v="0"/>
    <s v="réparation crevaison pneu "/>
    <n v="164206"/>
    <n v="60"/>
    <n v="60"/>
    <x v="338"/>
    <m/>
    <m/>
    <x v="0"/>
    <x v="0"/>
  </r>
  <r>
    <d v="2021-06-21T00:00:00"/>
    <x v="17"/>
    <x v="5"/>
    <x v="11"/>
    <x v="15"/>
    <n v="25021"/>
    <s v="eclairage "/>
    <s v="des lampes "/>
    <x v="0"/>
    <s v="réparation d'eclairage "/>
    <n v="164909"/>
    <n v="60"/>
    <n v="60"/>
    <x v="338"/>
    <m/>
    <m/>
    <x v="0"/>
    <x v="0"/>
  </r>
  <r>
    <d v="2021-06-22T00:00:00"/>
    <x v="11"/>
    <x v="3"/>
    <x v="3"/>
    <x v="11"/>
    <n v="25022"/>
    <s v="eclairage "/>
    <s v="des lampes "/>
    <x v="0"/>
    <s v="réparation d'eclairage et changement des lampes "/>
    <n v="164917"/>
    <n v="120"/>
    <n v="120"/>
    <x v="329"/>
    <m/>
    <m/>
    <x v="0"/>
    <x v="0"/>
  </r>
  <r>
    <d v="2021-06-22T00:00:00"/>
    <x v="7"/>
    <x v="1"/>
    <x v="5"/>
    <x v="7"/>
    <n v="25032"/>
    <s v="temperature moteur "/>
    <s v="radiateur "/>
    <x v="0"/>
    <s v="sortie avec camion pour résourdre du probleme d'echauffement anormale moteur thermique et changement du durite d'eau _x000a_réparation et débouchage du radiateur _x000a_reinssage du circuit de refroidissement "/>
    <n v="164943"/>
    <n v="1140"/>
    <n v="1140"/>
    <x v="339"/>
    <m/>
    <m/>
    <x v="0"/>
    <x v="0"/>
  </r>
  <r>
    <d v="2021-06-23T00:00:00"/>
    <x v="13"/>
    <x v="1"/>
    <x v="5"/>
    <x v="13"/>
    <n v="25023"/>
    <s v="pneu "/>
    <s v="usure "/>
    <x v="0"/>
    <s v="changemnt du deux pneus ref 11R22,5 R187_x000a_( changemnt du references "/>
    <n v="164918"/>
    <n v="120"/>
    <n v="120"/>
    <x v="329"/>
    <m/>
    <m/>
    <x v="0"/>
    <x v="0"/>
  </r>
  <r>
    <d v="2021-06-23T00:00:00"/>
    <x v="12"/>
    <x v="3"/>
    <x v="3"/>
    <x v="12"/>
    <n v="25025"/>
    <s v="eclairage "/>
    <s v="des lampes "/>
    <x v="0"/>
    <s v="répparation d'eclairage et changement des lampes "/>
    <n v="164921"/>
    <n v="60"/>
    <n v="60"/>
    <x v="340"/>
    <m/>
    <m/>
    <x v="0"/>
    <x v="0"/>
  </r>
  <r>
    <d v="2021-06-23T00:00:00"/>
    <x v="14"/>
    <x v="6"/>
    <x v="9"/>
    <x v="2"/>
    <n v="25026"/>
    <s v="Entretien"/>
    <s v="vidange"/>
    <x v="1"/>
    <s v="vidange d'huile moteur et graissage generale d'engin _x000a_changement du filtre a huile ref 343801_x000a_3923 h"/>
    <n v="164922"/>
    <n v="60"/>
    <n v="60"/>
    <x v="340"/>
    <m/>
    <m/>
    <x v="0"/>
    <x v="0"/>
  </r>
  <r>
    <d v="2021-06-24T00:00:00"/>
    <x v="8"/>
    <x v="3"/>
    <x v="6"/>
    <x v="8"/>
    <n v="25024"/>
    <s v="fuite d'air "/>
    <s v="prise rapide "/>
    <x v="0"/>
    <s v="réparation du fuite d'air et changement du prise rapide "/>
    <n v="164919"/>
    <n v="240"/>
    <n v="240"/>
    <x v="326"/>
    <m/>
    <m/>
    <x v="0"/>
    <x v="0"/>
  </r>
  <r>
    <d v="2021-06-24T00:00:00"/>
    <x v="8"/>
    <x v="3"/>
    <x v="6"/>
    <x v="8"/>
    <n v="25027"/>
    <s v="eclairage "/>
    <s v="des lampes "/>
    <x v="0"/>
    <s v="réparation d'eclairage et changement des lampes "/>
    <n v="164923"/>
    <n v="60"/>
    <n v="60"/>
    <x v="326"/>
    <m/>
    <m/>
    <x v="0"/>
    <x v="0"/>
  </r>
  <r>
    <d v="2021-06-25T00:00:00"/>
    <x v="4"/>
    <x v="1"/>
    <x v="3"/>
    <x v="4"/>
    <n v="25028"/>
    <s v="jeu des balai "/>
    <s v="usure "/>
    <x v="0"/>
    <s v="changement du jeu du balai d'essuie glace "/>
    <n v="164927"/>
    <n v="30"/>
    <n v="30"/>
    <x v="341"/>
    <m/>
    <m/>
    <x v="0"/>
    <x v="0"/>
  </r>
  <r>
    <d v="2021-06-25T00:00:00"/>
    <x v="5"/>
    <x v="3"/>
    <x v="3"/>
    <x v="5"/>
    <n v="25029"/>
    <s v="fuite d'eau "/>
    <s v="durite d'eau "/>
    <x v="0"/>
    <s v="réparation du fute d'eau "/>
    <n v="164928"/>
    <n v="120"/>
    <n v="120"/>
    <x v="341"/>
    <m/>
    <m/>
    <x v="0"/>
    <x v="0"/>
  </r>
  <r>
    <d v="2021-06-25T00:00:00"/>
    <x v="4"/>
    <x v="1"/>
    <x v="3"/>
    <x v="4"/>
    <n v="25030"/>
    <s v="Entretien"/>
    <s v="vidange"/>
    <x v="0"/>
    <s v="vidange d'huuile moteur 15W40_x000a_réparation d'eclairage "/>
    <n v="164929"/>
    <n v="180"/>
    <n v="180"/>
    <x v="341"/>
    <m/>
    <m/>
    <x v="0"/>
    <x v="0"/>
  </r>
  <r>
    <d v="2021-06-25T00:00:00"/>
    <x v="12"/>
    <x v="3"/>
    <x v="3"/>
    <x v="12"/>
    <n v="25031"/>
    <s v="Entretien"/>
    <s v="vidange"/>
    <x v="0"/>
    <s v="Vidange d'huile moteur 15W40 ola huile _x000a_lavage et graissag d'ngin _x000a_284120 km"/>
    <n v="164931"/>
    <n v="120"/>
    <n v="120"/>
    <x v="341"/>
    <m/>
    <m/>
    <x v="0"/>
    <x v="0"/>
  </r>
  <r>
    <d v="2021-06-30T00:00:00"/>
    <x v="12"/>
    <x v="3"/>
    <x v="3"/>
    <x v="12"/>
    <n v="25033"/>
    <s v="temperature moteur "/>
    <s v="temperature d'huile moteur "/>
    <x v="0"/>
    <s v="sortie pour réparation du probleme d'echauffement dhuile moteur _x000a_anormale temperature d'huile moteur _x000a_elimination du thermostat de refroidissement _x000a_,,,,,_x000a_vidange d'huile moteur afriquia huile _x000a_changement du filtre a huie et filtre a gasoil "/>
    <m/>
    <n v="1710"/>
    <n v="1710"/>
    <x v="342"/>
    <m/>
    <m/>
    <x v="0"/>
    <x v="0"/>
  </r>
  <r>
    <d v="2021-06-30T00:00:00"/>
    <x v="12"/>
    <x v="3"/>
    <x v="3"/>
    <x v="12"/>
    <n v="25615"/>
    <s v="moteur thermique"/>
    <s v="temperature d'huile moteur "/>
    <x v="0"/>
    <s v="sortie hors ste pour resoudre  du probleme electrique "/>
    <s v="C"/>
    <n v="1140"/>
    <n v="1140"/>
    <x v="342"/>
    <m/>
    <m/>
    <x v="0"/>
    <x v="0"/>
  </r>
  <r>
    <d v="2021-07-05T00:00:00"/>
    <x v="26"/>
    <x v="2"/>
    <x v="15"/>
    <x v="2"/>
    <n v="25601"/>
    <s v="freinage "/>
    <s v="pompe de frein"/>
    <x v="0"/>
    <s v="réparation du freinage et changement _x000a_du pompe de frein avant "/>
    <s v="166213_x000a_166220"/>
    <n v="360"/>
    <n v="360"/>
    <x v="343"/>
    <m/>
    <m/>
    <x v="0"/>
    <x v="0"/>
  </r>
  <r>
    <d v="2021-07-05T00:00:00"/>
    <x v="10"/>
    <x v="1"/>
    <x v="8"/>
    <x v="10"/>
    <n v="25614"/>
    <s v="grue de levage "/>
    <s v="pompe du grue "/>
    <x v="0"/>
    <s v="changement du pompe du grue de levage et desd raccord de fixation et manchon  _x000a_changement du prise de pompe de grue a comande pneumatique "/>
    <s v="166246_x000a_166855"/>
    <n v="2280"/>
    <n v="5700"/>
    <x v="344"/>
    <m/>
    <m/>
    <x v="0"/>
    <x v="0"/>
  </r>
  <r>
    <d v="2021-07-06T00:00:00"/>
    <x v="28"/>
    <x v="2"/>
    <x v="13"/>
    <x v="2"/>
    <n v="25602"/>
    <s v="Entretien"/>
    <s v="vidange"/>
    <x v="0"/>
    <s v="vidange d'huile moteur15w40_x000a_lavage et graissage génrale d'engin "/>
    <n v="166221"/>
    <n v="60"/>
    <n v="60"/>
    <x v="345"/>
    <m/>
    <m/>
    <x v="0"/>
    <x v="0"/>
  </r>
  <r>
    <d v="2021-07-07T00:00:00"/>
    <x v="15"/>
    <x v="2"/>
    <x v="10"/>
    <x v="2"/>
    <n v="25603"/>
    <s v="essieu arriere "/>
    <s v="des roullement "/>
    <x v="0"/>
    <s v="changement du kit réparation axe pivot d'essieu erriare _x000a_604 h "/>
    <n v="166222"/>
    <n v="1140"/>
    <n v="1140"/>
    <x v="346"/>
    <m/>
    <m/>
    <x v="0"/>
    <x v="0"/>
  </r>
  <r>
    <d v="2021-07-07T00:00:00"/>
    <x v="26"/>
    <x v="2"/>
    <x v="15"/>
    <x v="2"/>
    <n v="25604"/>
    <s v="levage des fourches "/>
    <s v="des galets "/>
    <x v="0"/>
    <s v="changeent des galets de monte charge "/>
    <n v="166224"/>
    <n v="1140"/>
    <n v="1114"/>
    <x v="346"/>
    <m/>
    <m/>
    <x v="0"/>
    <x v="0"/>
  </r>
  <r>
    <d v="2021-07-07T00:00:00"/>
    <x v="4"/>
    <x v="1"/>
    <x v="3"/>
    <x v="4"/>
    <n v="25605"/>
    <s v="vidage"/>
    <s v="vidange"/>
    <x v="1"/>
    <s v="vidange d'huile moteur et changement du filtre a huile et filtre a gasoil _x000a_et filtre a air _x000a_205577 km"/>
    <n v="166226"/>
    <n v="120"/>
    <n v="120"/>
    <x v="347"/>
    <m/>
    <m/>
    <x v="0"/>
    <x v="0"/>
  </r>
  <r>
    <d v="2021-07-09T00:00:00"/>
    <x v="11"/>
    <x v="3"/>
    <x v="3"/>
    <x v="11"/>
    <n v="25606"/>
    <s v="Entretien"/>
    <s v="vidange"/>
    <x v="0"/>
    <s v="vidange d'huile ùmoteur 15w40_x000a_changement du filtre a huille et filtre a gasoil _x000a_et preiltre a gasoil _x000a_changement du jeu de courroie d'accessoires _x000a_déplacement a agadir pour déppanage du situation _x000a_289628km"/>
    <n v="166235"/>
    <n v="1710"/>
    <n v="1710"/>
    <x v="348"/>
    <m/>
    <m/>
    <x v="0"/>
    <x v="0"/>
  </r>
  <r>
    <d v="2021-07-10T00:00:00"/>
    <x v="3"/>
    <x v="1"/>
    <x v="3"/>
    <x v="3"/>
    <n v="25607"/>
    <s v="eclairage "/>
    <s v="des lampes "/>
    <x v="0"/>
    <s v="réparation d'eclairage "/>
    <n v="166237"/>
    <n v="120"/>
    <n v="120"/>
    <x v="349"/>
    <m/>
    <m/>
    <x v="0"/>
    <x v="0"/>
  </r>
  <r>
    <d v="2021-07-10T00:00:00"/>
    <x v="7"/>
    <x v="1"/>
    <x v="5"/>
    <x v="7"/>
    <n v="25613"/>
    <s v="reftroidissement du moteur "/>
    <s v="radiateur "/>
    <x v="0"/>
    <s v="réparation et débouchage du radiateur de refroidisement _x000a_déboouchage du cirucit de refroidissement "/>
    <n v="166245"/>
    <n v="1710"/>
    <n v="1710"/>
    <x v="0"/>
    <m/>
    <m/>
    <x v="0"/>
    <x v="0"/>
  </r>
  <r>
    <d v="2021-07-12T00:00:00"/>
    <x v="16"/>
    <x v="1"/>
    <x v="5"/>
    <x v="14"/>
    <n v="26608"/>
    <s v="démarrage "/>
    <s v="alternateur de charge battrie "/>
    <x v="0"/>
    <s v="réparation d'alternateur de charge battrie et changement des cosse battrie "/>
    <n v="166238"/>
    <m/>
    <n v="121849"/>
    <x v="0"/>
    <m/>
    <m/>
    <x v="0"/>
    <x v="0"/>
  </r>
  <r>
    <d v="2021-07-13T00:00:00"/>
    <x v="27"/>
    <x v="0"/>
    <x v="0"/>
    <x v="21"/>
    <n v="25610"/>
    <s v="Entretien"/>
    <s v="mise a niveau"/>
    <x v="1"/>
    <s v="mise a niveau d'huile de boite vitesse "/>
    <n v="166242"/>
    <n v="30"/>
    <n v="30"/>
    <x v="0"/>
    <m/>
    <m/>
    <x v="0"/>
    <x v="0"/>
  </r>
  <r>
    <d v="2021-07-13T00:00:00"/>
    <x v="25"/>
    <x v="1"/>
    <x v="1"/>
    <x v="20"/>
    <n v="25611"/>
    <s v="démarrage "/>
    <s v="contact"/>
    <x v="0"/>
    <s v="changement du contact de démarrage "/>
    <n v="166243"/>
    <n v="120"/>
    <n v="120"/>
    <x v="0"/>
    <m/>
    <m/>
    <x v="0"/>
    <x v="0"/>
  </r>
  <r>
    <d v="2021-07-13T00:00:00"/>
    <x v="37"/>
    <x v="9"/>
    <x v="24"/>
    <x v="24"/>
    <n v="25612"/>
    <s v="des pneus "/>
    <s v="usure "/>
    <x v="0"/>
    <s v="changement du deux pneu avant ref 28-12,5/15"/>
    <n v="166244"/>
    <n v="1140"/>
    <n v="1140"/>
    <x v="350"/>
    <m/>
    <m/>
    <x v="0"/>
    <x v="0"/>
  </r>
  <r>
    <d v="2021-07-13T00:00:00"/>
    <x v="24"/>
    <x v="0"/>
    <x v="0"/>
    <x v="19"/>
    <n v="25617"/>
    <s v="démarrage "/>
    <s v="battrie de démarrage "/>
    <x v="0"/>
    <s v="changement du battrie de démarrage 12 v c14_x000a_changement des cosse battrie "/>
    <n v="166854"/>
    <n v="120"/>
    <n v="120"/>
    <x v="0"/>
    <m/>
    <m/>
    <x v="0"/>
    <x v="0"/>
  </r>
  <r>
    <d v="2021-07-13T00:00:00"/>
    <x v="3"/>
    <x v="1"/>
    <x v="3"/>
    <x v="3"/>
    <n v="25618"/>
    <s v="Entretien"/>
    <s v="vidange"/>
    <x v="0"/>
    <s v="vidange d'huile moteur et changement du filtre a huile et filtre a gasoil et filtre a air _x000a_lavage et graissage generale d'eengin _x000a_233143 km"/>
    <n v="166854"/>
    <n v="120"/>
    <n v="120"/>
    <x v="0"/>
    <m/>
    <m/>
    <x v="0"/>
    <x v="0"/>
  </r>
  <r>
    <d v="2021-07-15T00:00:00"/>
    <x v="40"/>
    <x v="12"/>
    <x v="24"/>
    <x v="24"/>
    <n v="25619"/>
    <s v="suspension"/>
    <s v="des amortisseurs"/>
    <x v="0"/>
    <s v="changement des chappe de direction et deux amortisseurs _x000a_des plaquettes de frein avant _x000a_deus amortisseurs arriere "/>
    <n v="166859"/>
    <n v="570"/>
    <n v="570"/>
    <x v="344"/>
    <m/>
    <m/>
    <x v="0"/>
    <x v="0"/>
  </r>
  <r>
    <d v="2021-07-15T00:00:00"/>
    <x v="23"/>
    <x v="3"/>
    <x v="6"/>
    <x v="18"/>
    <n v="25620"/>
    <s v="electrique "/>
    <s v="eclairage "/>
    <x v="0"/>
    <s v="réparation d'eclairege "/>
    <n v="166860"/>
    <n v="120"/>
    <n v="120"/>
    <x v="344"/>
    <m/>
    <m/>
    <x v="0"/>
    <x v="0"/>
  </r>
  <r>
    <d v="2021-07-15T00:00:00"/>
    <x v="7"/>
    <x v="1"/>
    <x v="5"/>
    <x v="7"/>
    <n v="25621"/>
    <s v="Entretien"/>
    <s v="vidange"/>
    <x v="1"/>
    <s v="vidange d'huile moteur 15W40_x000a_lavage et graissage generale dengiin _x000a_changement du filtre a huilez et gasoil _x000a_523300 km"/>
    <n v="166863"/>
    <n v="120"/>
    <n v="120"/>
    <x v="344"/>
    <m/>
    <m/>
    <x v="0"/>
    <x v="0"/>
  </r>
  <r>
    <d v="2021-07-15T00:00:00"/>
    <x v="28"/>
    <x v="2"/>
    <x v="13"/>
    <x v="2"/>
    <n v="25622"/>
    <s v="Entretien"/>
    <s v="mise a niveau"/>
    <x v="1"/>
    <s v="mise a niveau d'huile hydraulique AW68"/>
    <n v="166865"/>
    <n v="30"/>
    <n v="30"/>
    <x v="344"/>
    <m/>
    <m/>
    <x v="0"/>
    <x v="0"/>
  </r>
  <r>
    <d v="2021-07-15T00:00:00"/>
    <x v="22"/>
    <x v="2"/>
    <x v="14"/>
    <x v="2"/>
    <n v="25641"/>
    <s v="peinture "/>
    <s v="pourriture "/>
    <x v="0"/>
    <s v="peinture generale d'engin _x000a_changement du joint culasse _x000a_changement du pompe a eau _x000a_changement du deux pneu arriere occasion acchat du laferaille ment du jante arriere _x000a_vidange d'huile moteur 15W40_x000a_changement du cable d'accelerateur_x000a_changement du contact de démarrage _x000a_montage du plexyglace avant et arriere _x000a_débouchage du radiateur _x000a_réparation d'essieu arriere _x000a_12033 h"/>
    <s v="168280_x000a_168265_x000a_168259_x000a_168719_x000a_168707_x000a_168844_x000a_16809_x000a_168808"/>
    <n v="10260"/>
    <n v="14820"/>
    <x v="351"/>
    <m/>
    <m/>
    <x v="0"/>
    <x v="0"/>
  </r>
  <r>
    <d v="2021-07-15T00:00:00"/>
    <x v="28"/>
    <x v="2"/>
    <x v="13"/>
    <x v="2"/>
    <n v="25667"/>
    <s v="Entretien"/>
    <s v="mise a niveau"/>
    <x v="1"/>
    <s v="mise a niveau d'huile hydraulique "/>
    <n v="169509"/>
    <n v="30"/>
    <n v="30"/>
    <x v="352"/>
    <m/>
    <m/>
    <x v="0"/>
    <x v="0"/>
  </r>
  <r>
    <d v="2021-07-16T00:00:00"/>
    <x v="23"/>
    <x v="3"/>
    <x v="6"/>
    <x v="18"/>
    <n v="25623"/>
    <s v="démarrage "/>
    <s v="circuit de gasoil  "/>
    <x v="0"/>
    <s v="réparation du probleme au niveau du circuit de gasoil et changement du pré filtre a gasoil"/>
    <n v="166866"/>
    <n v="180"/>
    <n v="180"/>
    <x v="353"/>
    <m/>
    <m/>
    <x v="0"/>
    <x v="0"/>
  </r>
  <r>
    <d v="2021-07-17T00:00:00"/>
    <x v="11"/>
    <x v="3"/>
    <x v="3"/>
    <x v="11"/>
    <n v="25624"/>
    <s v="eclairage "/>
    <s v="des lampes "/>
    <x v="0"/>
    <s v="réparation d'eclairage et changement des lampes "/>
    <n v="166869"/>
    <n v="120"/>
    <n v="120"/>
    <x v="354"/>
    <m/>
    <m/>
    <x v="0"/>
    <x v="0"/>
  </r>
  <r>
    <d v="2021-07-17T00:00:00"/>
    <x v="26"/>
    <x v="2"/>
    <x v="15"/>
    <x v="2"/>
    <n v="25625"/>
    <s v="fuite d'huile"/>
    <s v="flexible percé"/>
    <x v="0"/>
    <s v="réparation du fuite d'huile"/>
    <n v="166870"/>
    <n v="240"/>
    <n v="240"/>
    <x v="354"/>
    <m/>
    <m/>
    <x v="0"/>
    <x v="0"/>
  </r>
  <r>
    <d v="2021-07-17T00:00:00"/>
    <x v="3"/>
    <x v="1"/>
    <x v="3"/>
    <x v="3"/>
    <n v="25626"/>
    <s v="démarrage "/>
    <s v="battrie de démarrage "/>
    <x v="0"/>
    <s v="changement du deux battrie de démarrage m15 a9"/>
    <n v="166871"/>
    <n v="120"/>
    <n v="120"/>
    <x v="354"/>
    <m/>
    <m/>
    <x v="0"/>
    <x v="0"/>
  </r>
  <r>
    <d v="2021-07-26T00:00:00"/>
    <x v="11"/>
    <x v="3"/>
    <x v="3"/>
    <x v="11"/>
    <n v="25630"/>
    <s v="eclairage "/>
    <s v="des lampes "/>
    <x v="0"/>
    <s v="répatration d'eclairage et changemnet des lampes"/>
    <n v="166874"/>
    <n v="120"/>
    <n v="120"/>
    <x v="355"/>
    <m/>
    <m/>
    <x v="0"/>
    <x v="0"/>
  </r>
  <r>
    <d v="2021-07-27T00:00:00"/>
    <x v="18"/>
    <x v="1"/>
    <x v="5"/>
    <x v="16"/>
    <n v="25631"/>
    <s v="fuite d'huile hydraulique "/>
    <s v="durite d'eau "/>
    <x v="0"/>
    <s v="changement du durite de liquide de refroidissement"/>
    <n v="166875"/>
    <n v="180"/>
    <n v="180"/>
    <x v="356"/>
    <m/>
    <m/>
    <x v="0"/>
    <x v="0"/>
  </r>
  <r>
    <d v="2021-07-28T00:00:00"/>
    <x v="8"/>
    <x v="3"/>
    <x v="6"/>
    <x v="8"/>
    <n v="25629"/>
    <s v="freinage "/>
    <s v="garniyure de frein"/>
    <x v="0"/>
    <s v="réparation du probleme de freinage et changement des garniture de frein tracteur et plateau _x000a_des arrét de graisse moyeu de plateau _x000a_4 roullement de roue coté droit _x000a_2 came de reglage ferin tracteur _x000a_réparation d'eclairage _x000a_cabl spirale de remorquage "/>
    <s v="167819_x000a_167817_x000a_168807_x000a_169824"/>
    <n v="3420"/>
    <n v="6840"/>
    <x v="357"/>
    <m/>
    <m/>
    <x v="0"/>
    <x v="0"/>
  </r>
  <r>
    <d v="2021-07-29T00:00:00"/>
    <x v="41"/>
    <x v="3"/>
    <x v="6"/>
    <x v="27"/>
    <n v="25632"/>
    <s v="Entretien"/>
    <s v="vidange"/>
    <x v="0"/>
    <s v="vidange d'huile moteur 15W40_x000a_changement du filtre a huile et filtre a gasoil _x000a_841868 km"/>
    <n v="166881"/>
    <n v="120"/>
    <n v="120"/>
    <x v="358"/>
    <m/>
    <m/>
    <x v="0"/>
    <x v="0"/>
  </r>
  <r>
    <d v="2021-07-29T00:00:00"/>
    <x v="0"/>
    <x v="0"/>
    <x v="0"/>
    <x v="0"/>
    <n v="25636"/>
    <s v="démarrege du mmoteur "/>
    <s v="des injecteurs"/>
    <x v="0"/>
    <s v="réparation et tarage des injecteur s _x000a_changement du pompe d'injection récupereé du laferaille "/>
    <n v="167812"/>
    <n v="2850"/>
    <n v="4560"/>
    <x v="359"/>
    <m/>
    <m/>
    <x v="0"/>
    <x v="0"/>
  </r>
  <r>
    <d v="2021-07-30T00:00:00"/>
    <x v="2"/>
    <x v="2"/>
    <x v="2"/>
    <x v="2"/>
    <n v="256331"/>
    <s v="Entretien"/>
    <s v="mise a niveau"/>
    <x v="1"/>
    <s v="mise a niveau d'huile hydraulique "/>
    <n v="166882"/>
    <n v="30"/>
    <n v="60"/>
    <x v="360"/>
    <m/>
    <m/>
    <x v="0"/>
    <x v="0"/>
  </r>
  <r>
    <d v="2021-07-31T00:00:00"/>
    <x v="1"/>
    <x v="1"/>
    <x v="1"/>
    <x v="1"/>
    <n v="25628"/>
    <s v="freinage "/>
    <s v="garniture de frein"/>
    <x v="0"/>
    <s v="réparation du freianage et changement des arrét de graisse _x000a_3 roullement de roue  _x000a_ goujon du roue arriere et avant _x000a_2  jeu de garniture de frein _x000a_réparatio et débouchache du radiateur _x000a_tarage des injecteur _x000a_changement du pompe de gasoil et filtre a gasoil _x000a_changement du master de frein _x000a_vidange d'huile moteur 15W40 _x000a_      744590 km_x000a_"/>
    <s v="167846_x000a_167840_x000a_167828_x000a_167816_x000a_167811_x000a_167896_x000a_168884"/>
    <n v="5700"/>
    <n v="17100"/>
    <x v="361"/>
    <m/>
    <m/>
    <x v="0"/>
    <x v="0"/>
  </r>
  <r>
    <d v="2021-08-02T00:00:00"/>
    <x v="41"/>
    <x v="3"/>
    <x v="6"/>
    <x v="27"/>
    <n v="25634"/>
    <s v="Entretien"/>
    <s v="mise a niveau"/>
    <x v="0"/>
    <s v="mise a niveau d'huil moteur "/>
    <n v="166890"/>
    <n v="30"/>
    <n v="30"/>
    <x v="362"/>
    <m/>
    <m/>
    <x v="0"/>
    <x v="0"/>
  </r>
  <r>
    <d v="2021-08-03T00:00:00"/>
    <x v="2"/>
    <x v="2"/>
    <x v="2"/>
    <x v="2"/>
    <n v="25635"/>
    <s v="fuite d'huile hydraulique "/>
    <s v="durite d'huile"/>
    <x v="0"/>
    <s v="réparation du fuite d'huuile hydraulique et mise _x000a_a niveau d'huile "/>
    <n v="166895"/>
    <n v="180"/>
    <n v="180"/>
    <x v="363"/>
    <m/>
    <m/>
    <x v="0"/>
    <x v="0"/>
  </r>
  <r>
    <d v="2021-08-04T00:00:00"/>
    <x v="10"/>
    <x v="1"/>
    <x v="8"/>
    <x v="10"/>
    <n v="25643"/>
    <s v="démarrage "/>
    <s v="battrie de démarrage "/>
    <x v="0"/>
    <s v="changement du deux battrie de démarrage 12 M9_x000a_Vidange d'hile moteur 15W40_x000a_réparation du probleme au niveau du grue de levage et changement du vanne et filtre du grue _x000a_701924 km"/>
    <s v="167805_x000a_167845"/>
    <n v="120"/>
    <n v="120"/>
    <x v="364"/>
    <m/>
    <m/>
    <x v="0"/>
    <x v="0"/>
  </r>
  <r>
    <d v="2021-08-06T00:00:00"/>
    <x v="9"/>
    <x v="5"/>
    <x v="7"/>
    <x v="9"/>
    <n v="25638"/>
    <s v="eclairage "/>
    <s v="des lampes "/>
    <x v="0"/>
    <s v="réparaton d'eclairage "/>
    <n v="167814"/>
    <n v="30"/>
    <n v="30"/>
    <x v="365"/>
    <m/>
    <m/>
    <x v="0"/>
    <x v="0"/>
  </r>
  <r>
    <d v="2021-08-06T00:00:00"/>
    <x v="12"/>
    <x v="3"/>
    <x v="3"/>
    <x v="12"/>
    <n v="25639"/>
    <s v="pneu "/>
    <s v="usure "/>
    <x v="0"/>
    <s v="changement du quatre pneu ref 315/80R22,5 pour plateau_x000a_réparation d'eclairage "/>
    <s v="167835_x000a_167815"/>
    <n v="120"/>
    <n v="120"/>
    <x v="365"/>
    <m/>
    <m/>
    <x v="0"/>
    <x v="0"/>
  </r>
  <r>
    <d v="2021-08-07T00:00:00"/>
    <x v="9"/>
    <x v="5"/>
    <x v="7"/>
    <x v="9"/>
    <n v="25642"/>
    <s v="Entretien"/>
    <s v="vidange"/>
    <x v="1"/>
    <s v="vidange d'huile moteur  15W40_x000a_95400 km"/>
    <n v="167820"/>
    <n v="120"/>
    <n v="120"/>
    <x v="366"/>
    <m/>
    <m/>
    <x v="0"/>
    <x v="0"/>
  </r>
  <r>
    <d v="2021-08-09T00:00:00"/>
    <x v="7"/>
    <x v="1"/>
    <x v="5"/>
    <x v="7"/>
    <n v="25627"/>
    <s v="couple conique "/>
    <s v="couple conique endommage "/>
    <x v="0"/>
    <s v="changemenet du couple conique endommage (achat du laferaile  ) ( abdou)_x000a_réparation du fuite d'huile "/>
    <s v="167824_x000a_167820_x000a_167830_x000a_167841"/>
    <n v="1710"/>
    <n v="4580"/>
    <x v="367"/>
    <m/>
    <m/>
    <x v="0"/>
    <x v="0"/>
  </r>
  <r>
    <d v="2021-08-13T00:00:00"/>
    <x v="4"/>
    <x v="1"/>
    <x v="3"/>
    <x v="4"/>
    <n v="25645"/>
    <s v="pare choc avant "/>
    <s v="accident "/>
    <x v="0"/>
    <s v="réparation du pare choc avant en polyster _x000a_ endommage a cause d'un accident _x000a_réparation d'eclairage et peinture du pare choc avant "/>
    <s v="168708_x000a_167264_x000a_168257_x000a_167842"/>
    <n v="1140"/>
    <n v="1140"/>
    <x v="368"/>
    <m/>
    <m/>
    <x v="0"/>
    <x v="0"/>
  </r>
  <r>
    <d v="2021-08-16T00:00:00"/>
    <x v="16"/>
    <x v="1"/>
    <x v="5"/>
    <x v="14"/>
    <n v="25637"/>
    <s v="electrique "/>
    <s v="eclairage "/>
    <x v="0"/>
    <s v="réparation d'eclaiare et changement des lampes _x000a_vidange d'huile moteur 15W40_x000a_lavage et graissage generale d'engin _x000a_mise a niveau d'huile  de frein _x000a_642000"/>
    <s v="167813_x000a_167834"/>
    <n v="120"/>
    <n v="120"/>
    <x v="57"/>
    <n v="90"/>
    <m/>
    <x v="0"/>
    <x v="0"/>
  </r>
  <r>
    <d v="2021-08-23T00:00:00"/>
    <x v="12"/>
    <x v="3"/>
    <x v="3"/>
    <x v="12"/>
    <n v="25646"/>
    <s v="Entretien"/>
    <s v="vidange"/>
    <x v="0"/>
    <s v="vidange d'huile moteur et lavage et graissage generale d'engin _x000a_305471 km"/>
    <n v="167258"/>
    <n v="120"/>
    <n v="120"/>
    <x v="57"/>
    <m/>
    <m/>
    <x v="0"/>
    <x v="0"/>
  </r>
  <r>
    <d v="2021-08-27T00:00:00"/>
    <x v="11"/>
    <x v="3"/>
    <x v="3"/>
    <x v="11"/>
    <n v="25647"/>
    <s v="roue du plateau"/>
    <s v="des roullement "/>
    <x v="0"/>
    <s v="réparation du fixation du rous arriere droit _x000a_pour plateau et changemebnt des roullement "/>
    <n v="168274"/>
    <n v="1140"/>
    <n v="1140"/>
    <x v="57"/>
    <m/>
    <m/>
    <x v="0"/>
    <x v="0"/>
  </r>
  <r>
    <d v="2021-08-31T00:00:00"/>
    <x v="16"/>
    <x v="1"/>
    <x v="5"/>
    <x v="14"/>
    <n v="25648"/>
    <s v="pneu "/>
    <s v="usure "/>
    <x v="0"/>
    <s v="changement du deux pneu ref 12R22,5"/>
    <n v="168287"/>
    <n v="120"/>
    <n v="120"/>
    <x v="369"/>
    <m/>
    <m/>
    <x v="0"/>
    <x v="0"/>
  </r>
  <r>
    <d v="2021-08-31T00:00:00"/>
    <x v="10"/>
    <x v="1"/>
    <x v="8"/>
    <x v="10"/>
    <n v="25651"/>
    <s v="fuited'huile"/>
    <s v="durite d'eau "/>
    <x v="0"/>
    <s v="changement du pipe d'eau  achat du laferaille "/>
    <n v="168702"/>
    <n v="1710"/>
    <n v="1710"/>
    <x v="370"/>
    <m/>
    <m/>
    <x v="0"/>
    <x v="0"/>
  </r>
  <r>
    <d v="2021-09-01T00:00:00"/>
    <x v="24"/>
    <x v="0"/>
    <x v="0"/>
    <x v="19"/>
    <n v="25649"/>
    <s v="Entretien"/>
    <s v="vidange"/>
    <x v="0"/>
    <s v="entretien systematique "/>
    <n v="168289"/>
    <n v="120"/>
    <n v="120"/>
    <x v="371"/>
    <m/>
    <m/>
    <x v="0"/>
    <x v="0"/>
  </r>
  <r>
    <d v="2021-09-01T00:00:00"/>
    <x v="17"/>
    <x v="5"/>
    <x v="11"/>
    <x v="15"/>
    <n v="25652"/>
    <s v="Entretien"/>
    <s v="vidange"/>
    <x v="1"/>
    <s v="vidange d'huile moteur 15W40_x000a_souflege du filtre a air _x000a_149600 km"/>
    <n v="168703"/>
    <n v="60"/>
    <n v="60"/>
    <x v="371"/>
    <m/>
    <m/>
    <x v="0"/>
    <x v="0"/>
  </r>
  <r>
    <d v="2021-09-02T00:00:00"/>
    <x v="20"/>
    <x v="1"/>
    <x v="6"/>
    <x v="17"/>
    <n v="25653"/>
    <s v="fuite d'eau "/>
    <s v="pipe d'eau "/>
    <x v="0"/>
    <s v="réparation du fuite d'eau _x000a_vidange d'huile moteur 15W40_x000a_souflage du filtre a air _x000a_netoyyage et graisssage d'engin _x000a_854007 km"/>
    <n v="168704"/>
    <n v="120"/>
    <n v="120"/>
    <x v="370"/>
    <m/>
    <m/>
    <x v="0"/>
    <x v="0"/>
  </r>
  <r>
    <d v="2021-09-03T00:00:00"/>
    <x v="3"/>
    <x v="1"/>
    <x v="3"/>
    <x v="3"/>
    <n v="25654"/>
    <s v="Entretien"/>
    <s v="vidange"/>
    <x v="1"/>
    <s v="vidange d'huile mmoteur 15W40_x000a_lavage et graissage d'engin _x000a_250665 km"/>
    <n v="168705"/>
    <n v="120"/>
    <n v="120"/>
    <x v="372"/>
    <m/>
    <m/>
    <x v="0"/>
    <x v="0"/>
  </r>
  <r>
    <d v="2021-09-03T00:00:00"/>
    <x v="5"/>
    <x v="3"/>
    <x v="3"/>
    <x v="5"/>
    <n v="25663"/>
    <s v="fuite d'eau "/>
    <s v="pipe d'eau "/>
    <x v="0"/>
    <s v="réparation du probleme de fuite de liquide de refroidissement et changement du pipe d'eau _x000a_et kit réparation du compresseur d'air comprimé _x000a_réparation d'eclairage et changement de deux optique avant g et droit _x000a_réparation d'eclairage _x000a_reparation du fixation des optique "/>
    <s v="168726_x000a_168730"/>
    <n v="1710"/>
    <n v="4560"/>
    <x v="351"/>
    <m/>
    <m/>
    <x v="0"/>
    <x v="0"/>
  </r>
  <r>
    <d v="2021-09-04T00:00:00"/>
    <x v="38"/>
    <x v="0"/>
    <x v="25"/>
    <x v="25"/>
    <n v="25655"/>
    <s v="fuite d'air adm "/>
    <s v="filtre a  air "/>
    <x v="0"/>
    <s v="réparation du fuite au noveau du filtre a air "/>
    <n v="168711"/>
    <n v="120"/>
    <n v="120"/>
    <x v="373"/>
    <m/>
    <m/>
    <x v="0"/>
    <x v="0"/>
  </r>
  <r>
    <d v="2021-09-06T00:00:00"/>
    <x v="15"/>
    <x v="2"/>
    <x v="10"/>
    <x v="2"/>
    <n v="25656"/>
    <s v="Entretien"/>
    <s v="vidange"/>
    <x v="1"/>
    <s v="vidange d'huile mmoteur 15W40_x000a_lavage et graissage d'engin _x000a_réparation du fixation du roue arriere droit _x000a_935 h"/>
    <n v="168714"/>
    <n v="570"/>
    <n v="570"/>
    <x v="374"/>
    <m/>
    <m/>
    <x v="0"/>
    <x v="0"/>
  </r>
  <r>
    <d v="2021-09-06T00:00:00"/>
    <x v="8"/>
    <x v="3"/>
    <x v="6"/>
    <x v="8"/>
    <n v="25657"/>
    <s v="eclairage "/>
    <s v="des lampes "/>
    <x v="0"/>
    <s v="réparation d'eclairage et changementy des lampes "/>
    <n v="168720"/>
    <n v="120"/>
    <n v="120"/>
    <x v="374"/>
    <m/>
    <m/>
    <x v="0"/>
    <x v="0"/>
  </r>
  <r>
    <d v="2021-09-08T00:00:00"/>
    <x v="13"/>
    <x v="1"/>
    <x v="5"/>
    <x v="13"/>
    <n v="25658"/>
    <s v="freinage "/>
    <s v="garniture de fein "/>
    <x v="0"/>
    <s v="réparation du freinage et changent et changement du deux jeu de garniture de frein _x000a_des arrét de graisse moyeu rétroveseur coté  droit _x000a_support rétroveur coté gauche _x000a_jeu du balai d'essuie glece _x000a_réparation du silent bloc cabenne _x000a_vidange d'huile moteur 15W40_x000a_changement du deux pneu ref 11r22,5 c2s350807 / c2s530814_x000a_456700 km"/>
    <s v="168737_x000a_168745_x000a_168737_x000a_168504_x000a_169502"/>
    <n v="2280"/>
    <n v="3420"/>
    <x v="375"/>
    <m/>
    <m/>
    <x v="0"/>
    <x v="0"/>
  </r>
  <r>
    <d v="2021-09-08T00:00:00"/>
    <x v="13"/>
    <x v="1"/>
    <x v="5"/>
    <x v="13"/>
    <n v="25660"/>
    <s v="eclairage "/>
    <s v="des lampes "/>
    <x v="0"/>
    <s v="réparation d'eclairage et changement des lampes "/>
    <n v="168743"/>
    <n v="120"/>
    <n v="120"/>
    <x v="375"/>
    <m/>
    <m/>
    <x v="0"/>
    <x v="0"/>
  </r>
  <r>
    <d v="2021-09-09T00:00:00"/>
    <x v="12"/>
    <x v="3"/>
    <x v="3"/>
    <x v="12"/>
    <n v="25665"/>
    <s v="eclairage "/>
    <s v="des lampes "/>
    <x v="0"/>
    <s v="réparation d'eclairage et changemment des lampes "/>
    <n v="168727"/>
    <n v="180"/>
    <n v="180"/>
    <x v="376"/>
    <m/>
    <m/>
    <x v="0"/>
    <x v="0"/>
  </r>
  <r>
    <d v="2021-09-12T00:00:00"/>
    <x v="23"/>
    <x v="3"/>
    <x v="6"/>
    <x v="18"/>
    <n v="25671"/>
    <s v="injection du gazoil"/>
    <s v="des injecteurs"/>
    <x v="0"/>
    <s v="réparation du probleme d'injection gasoil et changemen du filtre a gasoil _x000a_et des douille des injecteur récuperé du laferaille "/>
    <m/>
    <n v="570"/>
    <n v="570"/>
    <x v="351"/>
    <m/>
    <m/>
    <x v="0"/>
    <x v="0"/>
  </r>
  <r>
    <d v="2021-09-13T00:00:00"/>
    <x v="7"/>
    <x v="1"/>
    <x v="5"/>
    <x v="7"/>
    <n v="25659"/>
    <s v="Entretien"/>
    <s v="vidange"/>
    <x v="0"/>
    <s v="vidange d'huile moteur 15W40_x000a_lavage et graissage generale d'engin _x000a_536000 km"/>
    <n v="168742"/>
    <n v="60"/>
    <n v="60"/>
    <x v="377"/>
    <m/>
    <m/>
    <x v="0"/>
    <x v="0"/>
  </r>
  <r>
    <d v="2021-09-14T00:00:00"/>
    <x v="18"/>
    <x v="1"/>
    <x v="5"/>
    <x v="16"/>
    <n v="25661"/>
    <s v="Entretien"/>
    <s v="vidange"/>
    <x v="0"/>
    <s v="vidange d'huile moteur 15W40_x000a_lavage et graissage generale d'engin _x000a_824800 km"/>
    <n v="169505"/>
    <n v="120"/>
    <n v="120"/>
    <x v="375"/>
    <m/>
    <m/>
    <x v="0"/>
    <x v="0"/>
  </r>
  <r>
    <d v="2021-09-15T00:00:00"/>
    <x v="15"/>
    <x v="2"/>
    <x v="10"/>
    <x v="2"/>
    <n v="25662"/>
    <s v="Entretien"/>
    <s v="mise a niveau"/>
    <x v="1"/>
    <s v="mise a niveau d'huile hydraulique "/>
    <n v="169506"/>
    <n v="30"/>
    <n v="30"/>
    <x v="378"/>
    <m/>
    <m/>
    <x v="0"/>
    <x v="0"/>
  </r>
  <r>
    <d v="2021-09-15T00:00:00"/>
    <x v="29"/>
    <x v="14"/>
    <x v="16"/>
    <x v="2"/>
    <n v="25691"/>
    <s v="marche avant arriere"/>
    <s v="pont avant "/>
    <x v="0"/>
    <s v="en coure  de réparation"/>
    <n v="168907"/>
    <n v="7410"/>
    <n v="7410"/>
    <x v="166"/>
    <m/>
    <m/>
    <x v="0"/>
    <x v="0"/>
  </r>
  <r>
    <d v="2021-09-16T00:00:00"/>
    <x v="12"/>
    <x v="3"/>
    <x v="3"/>
    <x v="12"/>
    <n v="25668"/>
    <s v="pneu "/>
    <s v="crevaison pneu "/>
    <x v="0"/>
    <s v="réparation du crevaison pneu ref 315/80R22,5"/>
    <n v="1699511"/>
    <n v="60"/>
    <n v="60"/>
    <x v="378"/>
    <m/>
    <m/>
    <x v="0"/>
    <x v="0"/>
  </r>
  <r>
    <d v="2021-09-16T00:00:00"/>
    <x v="16"/>
    <x v="1"/>
    <x v="5"/>
    <x v="14"/>
    <n v="25673"/>
    <s v="fuite d'air "/>
    <s v="pedale de frein "/>
    <x v="0"/>
    <s v="Changement du pedale de frein et réparation du fuite d'air "/>
    <n v="169517"/>
    <n v="570"/>
    <n v="570"/>
    <x v="379"/>
    <m/>
    <m/>
    <x v="0"/>
    <x v="0"/>
  </r>
  <r>
    <d v="2021-09-17T00:00:00"/>
    <x v="39"/>
    <x v="7"/>
    <x v="12"/>
    <x v="2"/>
    <n v="25666"/>
    <s v="moteur thermique"/>
    <s v="injection gasoil "/>
    <x v="0"/>
    <s v="réparation du probleme d'injection gasoil _x000a_changement du pompe d'amorssage neuf GAT avec prefiltre _x000a_réparation crevaison pneu avant gauche_x000a_réparation d'injection gasoil _x000a_vidange d'huile moteur 15W40_x000a_20578 h"/>
    <n v="169515"/>
    <n v="570"/>
    <n v="570"/>
    <x v="380"/>
    <m/>
    <m/>
    <x v="0"/>
    <x v="0"/>
  </r>
  <r>
    <d v="2021-09-17T00:00:00"/>
    <x v="9"/>
    <x v="5"/>
    <x v="7"/>
    <x v="9"/>
    <n v="25669"/>
    <s v="carosserie "/>
    <s v="accident "/>
    <x v="0"/>
    <s v="réparation du tole du carosseri et peinture du retouche arriere et avant "/>
    <s v="169514_x000a_169519"/>
    <n v="3420"/>
    <n v="3420"/>
    <x v="381"/>
    <m/>
    <m/>
    <x v="0"/>
    <x v="0"/>
  </r>
  <r>
    <d v="2021-09-18T00:00:00"/>
    <x v="14"/>
    <x v="6"/>
    <x v="9"/>
    <x v="2"/>
    <n v="25694"/>
    <s v="graissage par huile "/>
    <s v="pompe a huile "/>
    <x v="0"/>
    <s v="dépose et pose du moteur thermique  pour changé leur pompe a huile moteur et reglage du jeu de souppape _x000a_réparation du pot d'echappement changement du pochette joint complete et joint culasse _x000a_vidange d'huile d'huile moteur et changeement du filtre a huile et filtre a gasoil _x000a_3966 h"/>
    <s v="168965_x000a_169521_x000a_168957_x000a_168976_x000a_168972_x000a_168546_x000a_168"/>
    <n v="3420"/>
    <n v="6840"/>
    <x v="382"/>
    <m/>
    <m/>
    <x v="0"/>
    <x v="0"/>
  </r>
  <r>
    <d v="2021-09-20T00:00:00"/>
    <x v="15"/>
    <x v="2"/>
    <x v="10"/>
    <x v="2"/>
    <n v="25675"/>
    <s v="fixation roue arriere "/>
    <s v="des roullements"/>
    <x v="0"/>
    <s v="changement du kit moyeu arriere gauche"/>
    <n v="169523"/>
    <n v="180"/>
    <n v="180"/>
    <x v="383"/>
    <m/>
    <m/>
    <x v="0"/>
    <x v="0"/>
  </r>
  <r>
    <d v="2021-09-20T00:00:00"/>
    <x v="22"/>
    <x v="2"/>
    <x v="14"/>
    <x v="2"/>
    <n v="25676"/>
    <s v="Entretien"/>
    <s v="filtre a air "/>
    <x v="0"/>
    <s v="changemnt du filtre a air colmatté_x000a_12039 h"/>
    <n v="169527"/>
    <n v="30"/>
    <n v="30"/>
    <x v="384"/>
    <m/>
    <m/>
    <x v="0"/>
    <x v="0"/>
  </r>
  <r>
    <d v="2021-09-20T00:00:00"/>
    <x v="11"/>
    <x v="3"/>
    <x v="3"/>
    <x v="11"/>
    <n v="25678"/>
    <s v="eclairage "/>
    <s v="des lampes "/>
    <x v="0"/>
    <s v="réparation d'eclairage"/>
    <n v="169528"/>
    <n v="120"/>
    <n v="120"/>
    <x v="383"/>
    <m/>
    <m/>
    <x v="0"/>
    <x v="0"/>
  </r>
  <r>
    <d v="2021-09-21T00:00:00"/>
    <x v="1"/>
    <x v="1"/>
    <x v="1"/>
    <x v="1"/>
    <n v="25679"/>
    <s v="pneu"/>
    <s v="usure "/>
    <x v="0"/>
    <s v="changement du deux pneus ref 11R22,5 "/>
    <n v="169530"/>
    <n v="120"/>
    <n v="120"/>
    <x v="385"/>
    <m/>
    <m/>
    <x v="0"/>
    <x v="0"/>
  </r>
  <r>
    <d v="2021-09-21T00:00:00"/>
    <x v="20"/>
    <x v="1"/>
    <x v="6"/>
    <x v="17"/>
    <n v="25682"/>
    <s v="bruit anormale  "/>
    <s v="support cardon "/>
    <x v="0"/>
    <s v="sotie hors sté pour déppanae du camion et changement du support cardon "/>
    <n v="169531"/>
    <n v="570"/>
    <n v="570"/>
    <x v="385"/>
    <m/>
    <m/>
    <x v="0"/>
    <x v="0"/>
  </r>
  <r>
    <d v="2021-09-22T00:00:00"/>
    <x v="4"/>
    <x v="1"/>
    <x v="3"/>
    <x v="4"/>
    <n v="25680"/>
    <s v="Entretien"/>
    <s v="vidange"/>
    <x v="1"/>
    <s v="vidange d'huile moteur 15W40 changement du filtre a huile et filtre a gasoil ET PREFILTRE  a gasoil _x000a_réparation du pare choc avant _x000a_215937 km"/>
    <n v="169536"/>
    <n v="120"/>
    <n v="120"/>
    <x v="386"/>
    <m/>
    <m/>
    <x v="0"/>
    <x v="0"/>
  </r>
  <r>
    <d v="2021-09-22T00:00:00"/>
    <x v="7"/>
    <x v="1"/>
    <x v="5"/>
    <x v="7"/>
    <n v="25681"/>
    <s v="Entretien"/>
    <s v="filtre a air "/>
    <x v="0"/>
    <s v="changement du filtre a air ref me073160"/>
    <n v="169539"/>
    <n v="30"/>
    <n v="30"/>
    <x v="386"/>
    <m/>
    <m/>
    <x v="0"/>
    <x v="0"/>
  </r>
  <r>
    <d v="2021-09-22T00:00:00"/>
    <x v="33"/>
    <x v="2"/>
    <x v="18"/>
    <x v="2"/>
    <n v="25685"/>
    <s v="Entretien"/>
    <s v="vidange"/>
    <x v="0"/>
    <s v="vidange d'huile moteur 15W40_x000a_lavage et graissage generale d'engin _x000a_4035"/>
    <n v="168956"/>
    <n v="60"/>
    <n v="60"/>
    <x v="386"/>
    <m/>
    <m/>
    <x v="0"/>
    <x v="0"/>
  </r>
  <r>
    <d v="2021-09-24T00:00:00"/>
    <x v="28"/>
    <x v="2"/>
    <x v="13"/>
    <x v="2"/>
    <n v="25683"/>
    <s v="Entretien"/>
    <s v="vidange"/>
    <x v="0"/>
    <s v="vidange d'huile moteur 15W40_x000a_26194 km"/>
    <n v="168954"/>
    <n v="60"/>
    <n v="60"/>
    <x v="387"/>
    <m/>
    <m/>
    <x v="0"/>
    <x v="0"/>
  </r>
  <r>
    <d v="2021-09-24T00:00:00"/>
    <x v="22"/>
    <x v="2"/>
    <x v="14"/>
    <x v="2"/>
    <n v="25684"/>
    <s v="boite de vitesse "/>
    <s v="filttratino d'huile "/>
    <x v="0"/>
    <s v="changement du filtre d'huile de boite de vitesse percee"/>
    <n v="168955"/>
    <n v="1140"/>
    <n v="1140"/>
    <x v="381"/>
    <m/>
    <m/>
    <x v="0"/>
    <x v="0"/>
  </r>
  <r>
    <d v="2021-09-24T00:00:00"/>
    <x v="9"/>
    <x v="5"/>
    <x v="7"/>
    <x v="9"/>
    <n v="25697"/>
    <s v="feu rouge arriere "/>
    <s v="accident "/>
    <x v="0"/>
    <s v="changement du feu rouge arriere endommage a cause d'un accident"/>
    <n v="168951"/>
    <n v="240"/>
    <n v="240"/>
    <x v="387"/>
    <m/>
    <m/>
    <x v="0"/>
    <x v="0"/>
  </r>
  <r>
    <d v="2021-09-25T00:00:00"/>
    <x v="32"/>
    <x v="2"/>
    <x v="2"/>
    <x v="2"/>
    <n v="25686"/>
    <s v="Entretien"/>
    <s v="vidange"/>
    <x v="0"/>
    <s v="vidange d'huile moteur 15W40_x000a_lavage et graissage generale d'engin _x000a_3514 h"/>
    <n v="168958"/>
    <n v="60"/>
    <n v="60"/>
    <x v="388"/>
    <m/>
    <m/>
    <x v="0"/>
    <x v="0"/>
  </r>
  <r>
    <d v="2021-09-25T00:00:00"/>
    <x v="2"/>
    <x v="2"/>
    <x v="2"/>
    <x v="2"/>
    <n v="25689"/>
    <s v="pneu"/>
    <s v="usure "/>
    <x v="0"/>
    <s v="changement du deux pneu ref 250/70R12_x000a_Montage du plaque de plexyglace emplaceent du pare brise avant et arriere _x000a_vidange d'huile moteur 15W40_x000a_1593 h"/>
    <s v="168983_x000a_169543_x000a_168981"/>
    <n v="2240"/>
    <n v="2247"/>
    <x v="166"/>
    <m/>
    <m/>
    <x v="0"/>
    <x v="0"/>
  </r>
  <r>
    <d v="2021-09-26T00:00:00"/>
    <x v="30"/>
    <x v="9"/>
    <x v="24"/>
    <x v="24"/>
    <n v="25674"/>
    <s v="pneus"/>
    <s v="usure "/>
    <x v="0"/>
    <s v="réparation du fuite d'air et chagement des pneus 4 pneu ref 315/80R22,5 SCANIAcariere changement du criq de levage cabine _x000a_changement du pare brise aavant"/>
    <m/>
    <n v="1140"/>
    <n v="1140"/>
    <x v="384"/>
    <m/>
    <m/>
    <x v="0"/>
    <x v="0"/>
  </r>
  <r>
    <d v="2021-09-27T00:00:00"/>
    <x v="9"/>
    <x v="5"/>
    <x v="7"/>
    <x v="9"/>
    <n v="25687"/>
    <s v="Entretien"/>
    <s v="vidange"/>
    <x v="0"/>
    <s v="vidange d'huile moteur 15W40_x000a_changement du _x000a_filtre a huile ref 2631145010 _x000a_ filtre a gasoil  ref 3194541002 _x000a_filtre a air  281305H002_x000a_104175 km"/>
    <n v="168962"/>
    <n v="120"/>
    <n v="120"/>
    <x v="389"/>
    <m/>
    <m/>
    <x v="0"/>
    <x v="0"/>
  </r>
  <r>
    <d v="2021-09-27T00:00:00"/>
    <x v="17"/>
    <x v="5"/>
    <x v="11"/>
    <x v="15"/>
    <n v="25688"/>
    <s v="Entretien"/>
    <s v="vidange"/>
    <x v="0"/>
    <s v="vidange d'huile moteur 15W40_x000a_changement du _x000a_filtre a huile ref 2631145010 _x000a_ filtre a gasoil  ref 3194541002 _x000a_filtre a air  281305H002_x000a_152913 km"/>
    <n v="168963"/>
    <n v="120"/>
    <n v="120"/>
    <x v="389"/>
    <m/>
    <m/>
    <x v="0"/>
    <x v="0"/>
  </r>
  <r>
    <d v="2021-09-27T00:00:00"/>
    <x v="16"/>
    <x v="1"/>
    <x v="5"/>
    <x v="14"/>
    <n v="25689"/>
    <s v="pneu"/>
    <s v="usure "/>
    <x v="0"/>
    <s v="changement du deux pneu ref 12R22,5_x000a_656400 km_x000a_jd1304986d_x000a_jdb04837d"/>
    <n v="168966"/>
    <n v="120"/>
    <n v="120"/>
    <x v="389"/>
    <n v="176"/>
    <m/>
    <x v="0"/>
    <x v="0"/>
  </r>
  <r>
    <d v="2021-09-28T00:00:00"/>
    <x v="9"/>
    <x v="5"/>
    <x v="7"/>
    <x v="9"/>
    <n v="24653"/>
    <s v="carosserie "/>
    <s v="peinture "/>
    <x v="0"/>
    <s v="peinture genarale d'engin "/>
    <n v="170261"/>
    <n v="5700"/>
    <n v="5700"/>
    <x v="390"/>
    <m/>
    <m/>
    <x v="0"/>
    <x v="0"/>
  </r>
  <r>
    <d v="2021-09-30T00:00:00"/>
    <x v="4"/>
    <x v="1"/>
    <x v="3"/>
    <x v="4"/>
    <n v="25695"/>
    <s v="pneu"/>
    <s v="usure "/>
    <x v="0"/>
    <s v="changement du quatre pneu ref 315/80R22,5 XMULTI_x000a_ plh 203329b_x000a_plh26015b _x000a_poh260032b _x000a_puh22843b"/>
    <n v="168974"/>
    <n v="360"/>
    <n v="360"/>
    <x v="166"/>
    <m/>
    <m/>
    <x v="0"/>
    <x v="0"/>
  </r>
  <r>
    <d v="2021-10-01T00:00:00"/>
    <x v="11"/>
    <x v="3"/>
    <x v="3"/>
    <x v="11"/>
    <n v="25696"/>
    <s v="courroie "/>
    <s v="usure "/>
    <x v="1"/>
    <s v="changement du jeu de courroie d'accessoires pour ventiateur et alternateur de charge battrie "/>
    <s v="168975_x000a_1"/>
    <n v="570"/>
    <n v="570"/>
    <x v="391"/>
    <m/>
    <m/>
    <x v="0"/>
    <x v="0"/>
  </r>
  <r>
    <d v="2021-10-04T00:00:00"/>
    <x v="8"/>
    <x v="3"/>
    <x v="6"/>
    <x v="8"/>
    <n v="25698"/>
    <s v="Entretien"/>
    <s v="vidange"/>
    <x v="1"/>
    <s v="vidange d'huile moteur et changement du filtre a huile et filtre agasoil et prefiltre a gasoil _x000a_760117 km"/>
    <n v="168984"/>
    <n v="120"/>
    <n v="120"/>
    <x v="382"/>
    <m/>
    <m/>
    <x v="0"/>
    <x v="0"/>
  </r>
  <r>
    <d v="2021-10-05T00:00:00"/>
    <x v="4"/>
    <x v="1"/>
    <x v="3"/>
    <x v="4"/>
    <n v="25699"/>
    <s v="freinage "/>
    <s v="usure "/>
    <x v="0"/>
    <s v="changement du deux jeu de plaquette avant et arriere _x000a_changement du quatre disque de frein avant et arriere _x000a_217600 km"/>
    <n v="168988"/>
    <n v="570"/>
    <n v="570"/>
    <x v="392"/>
    <m/>
    <m/>
    <x v="0"/>
    <x v="0"/>
  </r>
  <r>
    <d v="2021-10-06T00:00:00"/>
    <x v="38"/>
    <x v="0"/>
    <x v="25"/>
    <x v="25"/>
    <n v="24651"/>
    <s v="embrayage "/>
    <s v="disque d'embrayage "/>
    <x v="0"/>
    <s v="changement du kit d'embrayage complet _x000a_disque et plateau et butée "/>
    <s v="170253_x000a_170258_x000a_170257_x000a_170255"/>
    <n v="1140"/>
    <n v="1140"/>
    <x v="393"/>
    <m/>
    <m/>
    <x v="0"/>
    <x v="0"/>
  </r>
  <r>
    <d v="2021-10-07T00:00:00"/>
    <x v="3"/>
    <x v="1"/>
    <x v="3"/>
    <x v="3"/>
    <n v="24656"/>
    <s v="transmission "/>
    <s v="boite vitesse "/>
    <x v="0"/>
    <s v="sortie hors ste pour déppané le camion et réparation du probleme au niveau du transmission _x000a_changement du bite de vitesse _x000a_achat bon occasion _x000a_changement du butéé et disque d'embrayage "/>
    <s v="170265_x000a_170256"/>
    <n v="1710"/>
    <n v="1710"/>
    <x v="394"/>
    <m/>
    <m/>
    <x v="0"/>
    <x v="0"/>
  </r>
  <r>
    <d v="2021-10-08T00:00:00"/>
    <x v="2"/>
    <x v="2"/>
    <x v="2"/>
    <x v="2"/>
    <n v="24652"/>
    <s v="charge du battrie "/>
    <s v="alternateur de charge battrie "/>
    <x v="0"/>
    <s v="réparation d'alternateur de charge battrie "/>
    <n v="180"/>
    <n v="180"/>
    <n v="570"/>
    <x v="393"/>
    <m/>
    <m/>
    <x v="0"/>
    <x v="0"/>
  </r>
  <r>
    <d v="2021-10-09T00:00:00"/>
    <x v="26"/>
    <x v="2"/>
    <x v="15"/>
    <x v="2"/>
    <n v="24657"/>
    <s v="freinage "/>
    <s v="pompe a huile "/>
    <x v="0"/>
    <s v="réparation du probleme de freinage et changement du pompe de frein _x000a_recupere du laferaile "/>
    <n v="170273"/>
    <n v="570"/>
    <n v="570"/>
    <x v="395"/>
    <m/>
    <m/>
    <x v="0"/>
    <x v="0"/>
  </r>
  <r>
    <d v="2021-10-11T00:00:00"/>
    <x v="23"/>
    <x v="3"/>
    <x v="6"/>
    <x v="18"/>
    <n v="24654"/>
    <s v="fuite d'eau "/>
    <s v="706-A-73"/>
    <x v="0"/>
    <s v="réparation du fuite de leiquide de refrdoidissement "/>
    <n v="170263"/>
    <n v="120"/>
    <n v="120"/>
    <x v="395"/>
    <m/>
    <m/>
    <x v="0"/>
    <x v="0"/>
  </r>
  <r>
    <d v="2021-10-11T00:00:00"/>
    <x v="9"/>
    <x v="5"/>
    <x v="7"/>
    <x v="9"/>
    <n v="24658"/>
    <s v="eclairage "/>
    <s v="des lampes "/>
    <x v="0"/>
    <s v="montage des cataphotes "/>
    <n v="1170264"/>
    <n v="120"/>
    <n v="120"/>
    <x v="395"/>
    <m/>
    <m/>
    <x v="0"/>
    <x v="0"/>
  </r>
  <r>
    <d v="2021-10-11T00:00:00"/>
    <x v="28"/>
    <x v="2"/>
    <x v="13"/>
    <x v="2"/>
    <n v="24659"/>
    <s v="Entretien"/>
    <s v="mise a niveau"/>
    <x v="0"/>
    <s v="miose a nivaeau d'huile hydrailique "/>
    <n v="170268"/>
    <n v="120"/>
    <n v="120"/>
    <x v="395"/>
    <m/>
    <m/>
    <x v="0"/>
    <x v="0"/>
  </r>
  <r>
    <d v="2021-10-11T00:00:00"/>
    <x v="29"/>
    <x v="2"/>
    <x v="16"/>
    <x v="2"/>
    <n v="24660"/>
    <s v="fuite d'huile hydraulique "/>
    <s v="joint du flexible "/>
    <x v="0"/>
    <s v="réparation du fuite d'huile hydraulique "/>
    <n v="170267"/>
    <n v="360"/>
    <n v="360"/>
    <x v="395"/>
    <m/>
    <m/>
    <x v="0"/>
    <x v="0"/>
  </r>
  <r>
    <d v="2021-10-11T00:00:00"/>
    <x v="19"/>
    <x v="7"/>
    <x v="12"/>
    <x v="2"/>
    <n v="24661"/>
    <s v="démarrage "/>
    <s v="injection gasoil "/>
    <x v="0"/>
    <s v="réparation du probleme d'injection gasoil _x000a_changement des poussoires avec plaque et deux culbuteur "/>
    <s v="170288_x000a_170287"/>
    <n v="2280"/>
    <n v="3990"/>
    <x v="396"/>
    <m/>
    <m/>
    <x v="0"/>
    <x v="0"/>
  </r>
  <r>
    <d v="2021-10-12T00:00:00"/>
    <x v="10"/>
    <x v="1"/>
    <x v="8"/>
    <x v="10"/>
    <n v="24662"/>
    <s v="fuite d'huile hydraulique "/>
    <s v="durite d'huile "/>
    <x v="0"/>
    <s v="rparation du fuite d'huile hydrulique et vidange d'huile du boite de vitesse _x000a_et pont arriere _x000a_et huile moteur _x000a_et huile du deux reducteur _x000a_724483 km"/>
    <n v="170263"/>
    <n v="240"/>
    <n v="240"/>
    <x v="390"/>
    <m/>
    <m/>
    <x v="0"/>
    <x v="0"/>
  </r>
  <r>
    <d v="2021-10-12T00:00:00"/>
    <x v="30"/>
    <x v="12"/>
    <x v="24"/>
    <x v="24"/>
    <n v="24663"/>
    <s v="démarrage "/>
    <s v="battrie de démarrage "/>
    <x v="0"/>
    <s v="changement du battrie de démarrage 12V L3"/>
    <n v="170271"/>
    <n v="60"/>
    <n v="60"/>
    <x v="390"/>
    <m/>
    <m/>
    <x v="0"/>
    <x v="0"/>
  </r>
  <r>
    <d v="2021-10-12T00:00:00"/>
    <x v="11"/>
    <x v="3"/>
    <x v="3"/>
    <x v="11"/>
    <n v="24665"/>
    <s v="eclairage "/>
    <s v="des lampes "/>
    <x v="0"/>
    <s v="réparation d'eclairage"/>
    <n v="170272"/>
    <m/>
    <n v="125791"/>
    <x v="57"/>
    <m/>
    <m/>
    <x v="0"/>
    <x v="0"/>
  </r>
  <r>
    <d v="2021-10-15T00:00:00"/>
    <x v="24"/>
    <x v="0"/>
    <x v="0"/>
    <x v="19"/>
    <n v="24664"/>
    <s v="suspension"/>
    <s v="des amortisseurs"/>
    <x v="0"/>
    <s v="changement des elemet de suspontion amortiseur av et ar +des chappe de direction +bielette de suspontion +triangle de suspontion +"/>
    <m/>
    <m/>
    <s v=""/>
    <x v="57"/>
    <m/>
    <m/>
    <x v="0"/>
    <x v="0"/>
  </r>
  <r>
    <d v="2021-10-15T00:00:00"/>
    <x v="1"/>
    <x v="1"/>
    <x v="1"/>
    <x v="1"/>
    <n v="24666"/>
    <s v="eclairage "/>
    <s v="des lampes "/>
    <x v="0"/>
    <s v="changement ders feu de signalisation des cataphotes "/>
    <n v="170277"/>
    <n v="60"/>
    <n v="6"/>
    <x v="397"/>
    <m/>
    <m/>
    <x v="0"/>
    <x v="0"/>
  </r>
  <r>
    <d v="2021-10-15T00:00:00"/>
    <x v="12"/>
    <x v="3"/>
    <x v="3"/>
    <x v="12"/>
    <n v="24668"/>
    <s v="eclairage "/>
    <s v="des lampes "/>
    <x v="0"/>
    <s v="réparation d'eclairage et changement ed lampes "/>
    <n v="170280"/>
    <n v="60"/>
    <n v="60"/>
    <x v="397"/>
    <m/>
    <m/>
    <x v="0"/>
    <x v="0"/>
  </r>
  <r>
    <d v="2021-10-15T00:00:00"/>
    <x v="2"/>
    <x v="2"/>
    <x v="2"/>
    <x v="2"/>
    <n v="24669"/>
    <s v="démarrage "/>
    <s v="monque de charge battrie "/>
    <x v="0"/>
    <s v="réparation d'alternateur de charge battrie "/>
    <n v="170281"/>
    <n v="60"/>
    <n v="60"/>
    <x v="397"/>
    <m/>
    <m/>
    <x v="0"/>
    <x v="0"/>
  </r>
  <r>
    <d v="2021-10-15T00:00:00"/>
    <x v="6"/>
    <x v="4"/>
    <x v="4"/>
    <x v="6"/>
    <n v="24670"/>
    <s v="Entretien"/>
    <s v="vidange"/>
    <x v="0"/>
    <s v="entretien systemtique"/>
    <n v="170284"/>
    <n v="120"/>
    <n v="120"/>
    <x v="397"/>
    <m/>
    <m/>
    <x v="0"/>
    <x v="0"/>
  </r>
  <r>
    <d v="2021-10-15T00:00:00"/>
    <x v="3"/>
    <x v="1"/>
    <x v="3"/>
    <x v="3"/>
    <n v="24671"/>
    <s v="Entretien"/>
    <s v="vidange"/>
    <x v="0"/>
    <s v="vidange d'huile de boite de vbitesse t_x000a_vidange d'huile moteur 15W40 huile ola _x000a_264000 km"/>
    <s v="170285_x000a_170289"/>
    <n v="180"/>
    <n v="180"/>
    <x v="397"/>
    <m/>
    <m/>
    <x v="0"/>
    <x v="0"/>
  </r>
  <r>
    <d v="2021-10-21T00:00:00"/>
    <x v="7"/>
    <x v="1"/>
    <x v="5"/>
    <x v="7"/>
    <n v="24672"/>
    <s v="Entretien"/>
    <s v="vidange"/>
    <x v="0"/>
    <s v="vidange d'huile moteur 15W40 huile ola _x000a_lavage et graissage generalke d'engin _x000a_548600 km"/>
    <n v="170293"/>
    <n v="120"/>
    <n v="120"/>
    <x v="398"/>
    <m/>
    <m/>
    <x v="0"/>
    <x v="0"/>
  </r>
  <r>
    <d v="2021-10-22T00:00:00"/>
    <x v="18"/>
    <x v="1"/>
    <x v="5"/>
    <x v="16"/>
    <n v="24673"/>
    <s v="pneu "/>
    <s v="usure "/>
    <x v="0"/>
    <s v="changement du deux pneu ref 12R22,5_x000a_serie JDB073D  /   JDB07368D"/>
    <n v="170103"/>
    <n v="120"/>
    <n v="120"/>
    <x v="399"/>
    <m/>
    <m/>
    <x v="0"/>
    <x v="0"/>
  </r>
  <r>
    <d v="2021-10-22T00:00:00"/>
    <x v="23"/>
    <x v="3"/>
    <x v="6"/>
    <x v="18"/>
    <n v="24676"/>
    <s v="air comprimé"/>
    <s v="presion dair insifusant "/>
    <x v="0"/>
    <s v="changement du kit réparation comprezsseur d'air comprimé _x000a_changement du déclecheur d'air adaptable _x000a_débouchage et netyage du circuit d'air comprimé _x000a_changement du deux ceinture de serrage reservoire gasoil _x000a_vidange d'&quot;huile moteur et changement du fitre a gasoil _x000a_45622 km_x000a_"/>
    <s v="171125_x000a_171136_x000a_171140_x000a_171113"/>
    <n v="2850"/>
    <n v="4560"/>
    <x v="400"/>
    <m/>
    <m/>
    <x v="0"/>
    <x v="0"/>
  </r>
  <r>
    <d v="2021-10-22T00:00:00"/>
    <x v="15"/>
    <x v="2"/>
    <x v="10"/>
    <x v="2"/>
    <n v="24687"/>
    <s v="refroidissement"/>
    <s v="radiateur "/>
    <x v="0"/>
    <s v="changement du radiateur de liquide de refroidissement _x000a_changement du pompe d'alimentation gasoil _x000a_changement du filtre a air _x000a_vidange d'huile moteur 15W40_x000a_1090 h"/>
    <s v="171141_x000a_171465_x000a_171460_x000a_171456"/>
    <n v="2850"/>
    <n v="5700"/>
    <x v="401"/>
    <m/>
    <m/>
    <x v="0"/>
    <x v="0"/>
  </r>
  <r>
    <d v="2021-10-24T00:00:00"/>
    <x v="2"/>
    <x v="2"/>
    <x v="2"/>
    <x v="2"/>
    <n v="24674"/>
    <s v="marche avant arriere"/>
    <s v="electrovalve "/>
    <x v="0"/>
    <s v="changement du deux electovzlve "/>
    <n v="171109"/>
    <n v="180"/>
    <n v="180"/>
    <x v="402"/>
    <m/>
    <m/>
    <x v="0"/>
    <x v="0"/>
  </r>
  <r>
    <d v="2021-10-25T00:00:00"/>
    <x v="22"/>
    <x v="2"/>
    <x v="14"/>
    <x v="2"/>
    <n v="24675"/>
    <s v="mise a nioveau"/>
    <s v="huile de frein a basse niveau"/>
    <x v="0"/>
    <s v="mise aniveau d'huile hydraulique aw 68"/>
    <n v="171105"/>
    <n v="30"/>
    <n v="30"/>
    <x v="403"/>
    <m/>
    <m/>
    <x v="0"/>
    <x v="0"/>
  </r>
  <r>
    <d v="2021-10-25T00:00:00"/>
    <x v="2"/>
    <x v="2"/>
    <x v="2"/>
    <x v="2"/>
    <n v="24677"/>
    <s v="Entretien"/>
    <s v="vidange"/>
    <x v="1"/>
    <s v=",vidange d'huile moteur 15W40_x000a_lavage et netoyage d'engin _x000a_souflage d filtre a air _x000a_1839 h"/>
    <n v="171114"/>
    <n v="120"/>
    <n v="120"/>
    <x v="404"/>
    <m/>
    <m/>
    <x v="0"/>
    <x v="0"/>
  </r>
  <r>
    <d v="2021-10-26T00:00:00"/>
    <x v="12"/>
    <x v="3"/>
    <x v="3"/>
    <x v="12"/>
    <n v="24678"/>
    <s v="Entretien"/>
    <s v="vidange"/>
    <x v="1"/>
    <s v="vidange d'huile moteur 15W40 huile ola _x000a_lavage et graissage generale d'engin _x000a_325000 km"/>
    <s v="171116_x000a_171117"/>
    <n v="122"/>
    <n v="120"/>
    <x v="405"/>
    <m/>
    <m/>
    <x v="0"/>
    <x v="0"/>
  </r>
  <r>
    <d v="2021-10-26T00:00:00"/>
    <x v="13"/>
    <x v="1"/>
    <x v="5"/>
    <x v="13"/>
    <n v="24679"/>
    <s v="pneu "/>
    <s v="usure "/>
    <x v="0"/>
    <s v="changement du deux pneu ref 11R22,5 r187_x000a_serie c25781223  c25930735 "/>
    <n v="171120"/>
    <n v="120"/>
    <n v="120"/>
    <x v="405"/>
    <m/>
    <m/>
    <x v="0"/>
    <x v="0"/>
  </r>
  <r>
    <d v="2021-10-27T00:00:00"/>
    <x v="11"/>
    <x v="3"/>
    <x v="3"/>
    <x v="11"/>
    <n v="24680"/>
    <s v="Entretien"/>
    <s v="vidange"/>
    <x v="4"/>
    <s v="réparation du fuite de liquide de refroidissement _x000a_et changement d'antigel du circuit _x000a_vidange d'huile moteur 15w40 HUILE OLA _x000a_lavage et graissae generale d'engin _x000a_319000 km"/>
    <n v="171121"/>
    <n v="120"/>
    <n v="120"/>
    <x v="406"/>
    <m/>
    <m/>
    <x v="0"/>
    <x v="0"/>
  </r>
  <r>
    <d v="2021-10-28T00:00:00"/>
    <x v="30"/>
    <x v="8"/>
    <x v="24"/>
    <x v="24"/>
    <n v="24681"/>
    <s v="fuite d'eau "/>
    <s v="flexible percé"/>
    <x v="2"/>
    <s v="changement du flexibe de lavage "/>
    <n v="171126"/>
    <n v="120"/>
    <n v="12"/>
    <x v="407"/>
    <m/>
    <m/>
    <x v="0"/>
    <x v="0"/>
  </r>
  <r>
    <d v="2021-10-30T00:00:00"/>
    <x v="1"/>
    <x v="1"/>
    <x v="1"/>
    <x v="1"/>
    <n v="24683"/>
    <s v="eclairage "/>
    <s v="des lampes "/>
    <x v="0"/>
    <s v="réparation d'eclairage et changement des lampes "/>
    <n v="171131"/>
    <n v="30"/>
    <n v="30"/>
    <x v="408"/>
    <m/>
    <m/>
    <x v="0"/>
    <x v="0"/>
  </r>
  <r>
    <d v="2021-10-30T00:00:00"/>
    <x v="8"/>
    <x v="3"/>
    <x v="6"/>
    <x v="8"/>
    <n v="24684"/>
    <s v="pneu"/>
    <s v="crevaison pneu "/>
    <x v="0"/>
    <s v="réparation du crevaison pneu "/>
    <n v="171132"/>
    <n v="30"/>
    <n v="30"/>
    <x v="408"/>
    <m/>
    <m/>
    <x v="0"/>
    <x v="0"/>
  </r>
  <r>
    <d v="2021-10-30T00:00:00"/>
    <x v="26"/>
    <x v="2"/>
    <x v="15"/>
    <x v="2"/>
    <n v="24685"/>
    <s v="marche avant arriere"/>
    <s v="tirette "/>
    <x v="0"/>
    <s v="changement du tirette de marche avan arriere_x000a_chagement du filtre a air _x000a_vidange d'huile moteur 15W40_x000a_1489 h"/>
    <n v="171133"/>
    <n v="120"/>
    <n v="120"/>
    <x v="408"/>
    <m/>
    <m/>
    <x v="0"/>
    <x v="0"/>
  </r>
  <r>
    <d v="2021-10-30T00:00:00"/>
    <x v="6"/>
    <x v="4"/>
    <x v="4"/>
    <x v="6"/>
    <n v="24686"/>
    <s v="pneu "/>
    <s v="usure "/>
    <x v="0"/>
    <s v="changement du  quatre pneu ref 145R13 "/>
    <s v="171135_x000a_1711425"/>
    <n v="120"/>
    <n v="120"/>
    <x v="408"/>
    <m/>
    <m/>
    <x v="0"/>
    <x v="0"/>
  </r>
  <r>
    <d v="2021-10-31T00:00:00"/>
    <x v="20"/>
    <x v="1"/>
    <x v="6"/>
    <x v="17"/>
    <n v="24682"/>
    <s v="suspension"/>
    <s v="ressort a lame "/>
    <x v="0"/>
    <s v="réparation des element de susponsion "/>
    <s v="171130_x000a_171146"/>
    <n v="570"/>
    <n v="570"/>
    <x v="407"/>
    <m/>
    <m/>
    <x v="0"/>
    <x v="0"/>
  </r>
  <r>
    <d v="2021-11-01T00:00:00"/>
    <x v="28"/>
    <x v="2"/>
    <x v="13"/>
    <x v="2"/>
    <n v="24688"/>
    <s v="Entretien"/>
    <s v="vidange"/>
    <x v="2"/>
    <s v="vidange d'huile moteur 15W40_x000a_lavage et graissage generale d'eengin _x000a_26402 h"/>
    <n v="171144"/>
    <n v="120"/>
    <n v="120"/>
    <x v="409"/>
    <m/>
    <m/>
    <x v="0"/>
    <x v="0"/>
  </r>
  <r>
    <d v="2021-11-01T00:00:00"/>
    <x v="19"/>
    <x v="7"/>
    <x v="12"/>
    <x v="2"/>
    <n v="24692"/>
    <s v="injection du gazoil"/>
    <s v="des injecteurs"/>
    <x v="0"/>
    <s v="changemlent des injecteur acheté du sté tractafric_x000a_reglage du jeu des soupape _x000a_réparaton du circuit ed gasoil "/>
    <s v="171134_x000a_171765_x000a_171755"/>
    <n v="120"/>
    <n v="120"/>
    <x v="410"/>
    <m/>
    <m/>
    <x v="0"/>
    <x v="0"/>
  </r>
  <r>
    <d v="2021-11-01T00:00:00"/>
    <x v="24"/>
    <x v="0"/>
    <x v="0"/>
    <x v="19"/>
    <n v="24695"/>
    <s v="suspension"/>
    <s v="des amortisseurs"/>
    <x v="0"/>
    <s v="reparation des probleme au niveau du suspension _x000a_et changement des amortissurs avec des bielle de susontion et des triangle de suspontion _x000a_et bielle de suspontion _x000a_alternateur de charge battrie _x000a_peintuure du capot moteur et aile droit_x000a_plaquette de freina avrnt et disque de frein avant _x000a_des amortisseur arriere "/>
    <s v="171452_x000a_171479_x000a_171484_x000a_171474"/>
    <n v="2850"/>
    <n v="8550"/>
    <x v="411"/>
    <m/>
    <m/>
    <x v="0"/>
    <x v="0"/>
  </r>
  <r>
    <d v="2021-11-01T00:00:00"/>
    <x v="39"/>
    <x v="7"/>
    <x v="12"/>
    <x v="2"/>
    <n v="24696"/>
    <s v="pont avant"/>
    <s v="manque de frein"/>
    <x v="0"/>
    <s v="réparation du proleme de freinage et changemenet des joiit d'etanchiete pour disque de frein et deux plateau de serrage et deux disque de frein ( deux jeu ) pour pont avant _x000a_réparation du démarrege et reglage du jeu de soupape"/>
    <s v="172729_x000a_171478_x000a_171457_x000a_171459"/>
    <n v="4500"/>
    <n v="10260"/>
    <x v="412"/>
    <m/>
    <m/>
    <x v="0"/>
    <x v="0"/>
  </r>
  <r>
    <d v="2021-11-01T00:00:00"/>
    <x v="11"/>
    <x v="3"/>
    <x v="3"/>
    <x v="11"/>
    <n v="25302"/>
    <s v="eclairage "/>
    <s v="des lampes "/>
    <x v="0"/>
    <s v="réparation 'eclairage et cangement des lampes "/>
    <n v="171478"/>
    <n v="180"/>
    <n v="180"/>
    <x v="409"/>
    <m/>
    <m/>
    <x v="0"/>
    <x v="0"/>
  </r>
  <r>
    <d v="2021-11-01T00:00:00"/>
    <x v="29"/>
    <x v="2"/>
    <x v="16"/>
    <x v="2"/>
    <n v="25303"/>
    <s v="marche avant arriere"/>
    <s v="pont avant "/>
    <x v="0"/>
    <s v="en coure  de réparation"/>
    <s v="171454_x000a_171453_x000a_171143_x000a_171279"/>
    <m/>
    <e v="#VALUE!"/>
    <x v="57"/>
    <m/>
    <m/>
    <x v="0"/>
    <x v="0"/>
  </r>
  <r>
    <d v="2021-11-02T00:00:00"/>
    <x v="10"/>
    <x v="1"/>
    <x v="8"/>
    <x v="10"/>
    <n v="24689"/>
    <s v="suspension"/>
    <s v="ressort a lame "/>
    <x v="0"/>
    <s v="réparation des element de susponsion "/>
    <n v="11145"/>
    <n v="570"/>
    <n v="570"/>
    <x v="413"/>
    <m/>
    <m/>
    <x v="0"/>
    <x v="0"/>
  </r>
  <r>
    <d v="2021-11-03T00:00:00"/>
    <x v="38"/>
    <x v="0"/>
    <x v="25"/>
    <x v="25"/>
    <n v="24690"/>
    <s v="Entretien"/>
    <s v="vidange"/>
    <x v="0"/>
    <s v="vidange d'huile moteur et changement du filtre a huile et filtre a air et filtre a gasoil_x000a_173400 km"/>
    <n v="171455"/>
    <n v="120"/>
    <n v="120"/>
    <x v="414"/>
    <m/>
    <m/>
    <x v="0"/>
    <x v="0"/>
  </r>
  <r>
    <d v="2021-11-08T00:00:00"/>
    <x v="17"/>
    <x v="5"/>
    <x v="11"/>
    <x v="15"/>
    <n v="24694"/>
    <s v="carosserie "/>
    <s v="peinture "/>
    <x v="0"/>
    <s v="peinture generale d'engin _x000a_changement du feu rouge arriere droit "/>
    <s v="171758_x000a_171485_x000a_171489"/>
    <n v="1140"/>
    <n v="5700"/>
    <x v="410"/>
    <m/>
    <m/>
    <x v="0"/>
    <x v="0"/>
  </r>
  <r>
    <d v="2021-11-09T00:00:00"/>
    <x v="27"/>
    <x v="0"/>
    <x v="0"/>
    <x v="21"/>
    <n v="24691"/>
    <s v="Entretien"/>
    <s v="vidange"/>
    <x v="0"/>
    <s v="vidange d'huile moteur et changement du filtre a huile et filtre a air et filtre a gasoil_x000a_314239 km"/>
    <n v="171691"/>
    <n v="120"/>
    <n v="120"/>
    <x v="415"/>
    <m/>
    <m/>
    <x v="0"/>
    <x v="0"/>
  </r>
  <r>
    <d v="2021-11-11T00:00:00"/>
    <x v="31"/>
    <x v="0"/>
    <x v="0"/>
    <x v="23"/>
    <n v="25301"/>
    <s v="freinage "/>
    <s v="pompe a huile "/>
    <x v="0"/>
    <s v="changement du pompe de fren achat du piece adaptable _x000a_mise a niveau d'huile de frein "/>
    <n v="171477"/>
    <n v="180"/>
    <n v="180"/>
    <x v="416"/>
    <m/>
    <m/>
    <x v="0"/>
    <x v="0"/>
  </r>
  <r>
    <d v="2021-11-11T00:00:00"/>
    <x v="3"/>
    <x v="1"/>
    <x v="3"/>
    <x v="3"/>
    <n v="25304"/>
    <s v="eclairage "/>
    <s v="des lampes "/>
    <x v="0"/>
    <s v="réparation d'eclairage et changement des lampes "/>
    <n v="171480"/>
    <n v="120"/>
    <n v="120"/>
    <x v="417"/>
    <m/>
    <m/>
    <x v="0"/>
    <x v="0"/>
  </r>
  <r>
    <d v="2021-11-11T00:00:00"/>
    <x v="42"/>
    <x v="2"/>
    <x v="27"/>
    <x v="28"/>
    <n v="25305"/>
    <s v="démarrage "/>
    <s v="démarreur"/>
    <x v="0"/>
    <s v="réparation du dé&quot;marreur et changement du jeu des bagues et relai démarreur _x000a_réparatio fuite d'huile hydraulique "/>
    <n v="171482"/>
    <n v="570"/>
    <n v="570"/>
    <x v="418"/>
    <m/>
    <m/>
    <x v="0"/>
    <x v="0"/>
  </r>
  <r>
    <d v="2021-11-12T00:00:00"/>
    <x v="7"/>
    <x v="1"/>
    <x v="5"/>
    <x v="7"/>
    <n v="24700"/>
    <s v="fuite d'huile hydraulique "/>
    <s v="joint culasse "/>
    <x v="0"/>
    <s v="réparation du fuite d'huile et changementr du joint culasse et joint du cache soupepe _x000a_reglage du jeu de soupepe _x000a_vidange d'huile moteur et graissage llavage genarale d'eb*ngin _x000a_556000 kml"/>
    <s v="171490_x000a_171468_x000a_171492_x000a_171496"/>
    <n v="2280"/>
    <n v="2850"/>
    <x v="411"/>
    <m/>
    <m/>
    <x v="0"/>
    <x v="0"/>
  </r>
  <r>
    <d v="2021-11-12T00:00:00"/>
    <x v="10"/>
    <x v="1"/>
    <x v="8"/>
    <x v="10"/>
    <n v="25306"/>
    <s v="eclairage "/>
    <s v="des lampes "/>
    <x v="0"/>
    <s v="réparation d'clairage "/>
    <n v="171483"/>
    <n v="180"/>
    <n v="180"/>
    <x v="419"/>
    <m/>
    <m/>
    <x v="0"/>
    <x v="0"/>
  </r>
  <r>
    <d v="2021-11-12T00:00:00"/>
    <x v="13"/>
    <x v="1"/>
    <x v="5"/>
    <x v="13"/>
    <n v="25307"/>
    <s v="moteur thermique"/>
    <s v="melange d'huile avec l'eau"/>
    <x v="0"/>
    <s v="réparation du moteur thermique et changement _x000a_du pochette joint complet des joint des joint des chemise _x000a_des couussinet de bielle et jeu des segment _x000a_du pompe a eau _x000a_joint culasse _x000a_contrôle des chemise "/>
    <n v="171486"/>
    <n v="5444"/>
    <n v="5444"/>
    <x v="420"/>
    <m/>
    <m/>
    <x v="0"/>
    <x v="0"/>
  </r>
  <r>
    <d v="2021-11-15T00:00:00"/>
    <x v="23"/>
    <x v="3"/>
    <x v="6"/>
    <x v="18"/>
    <n v="24697"/>
    <s v="démarrage "/>
    <s v="des cosses battrie "/>
    <x v="0"/>
    <s v="réparation du démarrage et changement dees coses kbattrie "/>
    <n v="171462"/>
    <n v="360"/>
    <n v="360"/>
    <x v="421"/>
    <m/>
    <m/>
    <x v="0"/>
    <x v="0"/>
  </r>
  <r>
    <d v="2021-11-17T00:00:00"/>
    <x v="9"/>
    <x v="5"/>
    <x v="7"/>
    <x v="9"/>
    <n v="25308"/>
    <s v="embrayage "/>
    <s v="disque d'embrayage "/>
    <x v="0"/>
    <s v="changeent du kit d'embrayage complet disque d'embrayage et plateau de serrage et butée _x000a_changemment du deux tambour de frein et garniture de frein avant avec arrét de graisse moyeu de roue _x000a_kit réparation master de frein _x000a_111600 km"/>
    <s v="171756_x000a_171752_x000a_171751"/>
    <n v="3750"/>
    <n v="6000"/>
    <x v="422"/>
    <m/>
    <m/>
    <x v="0"/>
    <x v="0"/>
  </r>
  <r>
    <d v="2021-11-17T00:00:00"/>
    <x v="22"/>
    <x v="2"/>
    <x v="14"/>
    <x v="2"/>
    <n v="25309"/>
    <s v="eclairage "/>
    <s v="des lampes "/>
    <x v="0"/>
    <s v="changeent des lampes et réparation d'eclairage "/>
    <n v="172757"/>
    <n v="120"/>
    <n v="120"/>
    <x v="411"/>
    <m/>
    <m/>
    <x v="0"/>
    <x v="0"/>
  </r>
  <r>
    <d v="2021-11-17T00:00:00"/>
    <x v="9"/>
    <x v="5"/>
    <x v="7"/>
    <x v="9"/>
    <n v="25320"/>
    <s v="freinage "/>
    <s v="garniture de frein "/>
    <x v="0"/>
    <s v="réparation du freinage et changement des garniture defrein _x000a_jeu avant _x000a_et quatre tambour de frein _x000a_neuf _x000a_4 arrét de graisse _x000a_jeu de garniture de frein coyté avant _x000a_kit d'embrayage complet _x000a_kitde réparation mester de frein _x000a_2  croisilon de cardon _x000a_"/>
    <s v="172795_x000a_172780"/>
    <n v="2850"/>
    <n v="3420"/>
    <x v="423"/>
    <m/>
    <m/>
    <x v="0"/>
    <x v="0"/>
  </r>
  <r>
    <d v="2021-11-18T00:00:00"/>
    <x v="19"/>
    <x v="7"/>
    <x v="12"/>
    <x v="2"/>
    <n v="25313"/>
    <s v="pneu "/>
    <s v="joint du pneu"/>
    <x v="0"/>
    <s v="changement du joint du pneu tubleeesse "/>
    <n v="172755"/>
    <n v="120"/>
    <n v="120"/>
    <x v="420"/>
    <m/>
    <m/>
    <x v="0"/>
    <x v="0"/>
  </r>
  <r>
    <d v="2021-11-20T00:00:00"/>
    <x v="8"/>
    <x v="3"/>
    <x v="6"/>
    <x v="8"/>
    <n v="25311"/>
    <s v="démarrage "/>
    <s v="des battries"/>
    <x v="0"/>
    <s v="réparation du probleme de démarrage et changement des cosses battrie 0"/>
    <n v="172766"/>
    <n v="120"/>
    <n v="120"/>
    <x v="424"/>
    <m/>
    <m/>
    <x v="0"/>
    <x v="0"/>
  </r>
  <r>
    <d v="2021-11-20T00:00:00"/>
    <x v="39"/>
    <x v="7"/>
    <x v="12"/>
    <x v="2"/>
    <n v="25316"/>
    <s v="Entretien"/>
    <s v="vidange"/>
    <x v="0"/>
    <s v="vidange d'huile moteur 15w40_x000a_réparation du fuite de gasoil_x000a_20694"/>
    <n v="172772"/>
    <n v="120"/>
    <n v="360"/>
    <x v="412"/>
    <m/>
    <m/>
    <x v="0"/>
    <x v="0"/>
  </r>
  <r>
    <d v="2021-11-22T00:00:00"/>
    <x v="23"/>
    <x v="3"/>
    <x v="6"/>
    <x v="18"/>
    <n v="25318"/>
    <s v="air comprimé"/>
    <s v="compreseur d'air"/>
    <x v="0"/>
    <s v="changement du kit compresseur d'air comprimé _x000a_déclencheur d'air  adaptable _x000a_réparation d'eclairage "/>
    <s v="172773_x000a_174571"/>
    <n v="1140"/>
    <n v="1140"/>
    <x v="425"/>
    <m/>
    <m/>
    <x v="0"/>
    <x v="0"/>
  </r>
  <r>
    <d v="2021-11-24T00:00:00"/>
    <x v="22"/>
    <x v="2"/>
    <x v="14"/>
    <x v="2"/>
    <n v="25329"/>
    <s v="fuite d'eau "/>
    <s v="plaque de distribution"/>
    <x v="0"/>
    <s v="changement du plaque de distreibution avant avec joint "/>
    <s v="173770_x000a_173786_x000a_173779_x000a_173781"/>
    <n v="4560"/>
    <n v="8550"/>
    <x v="426"/>
    <m/>
    <m/>
    <x v="0"/>
    <x v="0"/>
  </r>
  <r>
    <d v="2021-11-25T00:00:00"/>
    <x v="20"/>
    <x v="1"/>
    <x v="6"/>
    <x v="17"/>
    <n v="25321"/>
    <s v="eclairage "/>
    <s v="des lampes "/>
    <x v="0"/>
    <s v="réparation d'eclairege "/>
    <n v="172787"/>
    <n v="180"/>
    <n v="180"/>
    <x v="403"/>
    <m/>
    <m/>
    <x v="0"/>
    <x v="0"/>
  </r>
  <r>
    <d v="2021-11-26T00:00:00"/>
    <x v="4"/>
    <x v="1"/>
    <x v="3"/>
    <x v="4"/>
    <n v="25324"/>
    <s v="pneu"/>
    <s v="usure "/>
    <x v="0"/>
    <s v="changement du quatre pneu ref 315/80R22,5 xmulti hdz"/>
    <n v="173763"/>
    <n v="120"/>
    <n v="120"/>
    <x v="427"/>
    <m/>
    <m/>
    <x v="0"/>
    <x v="0"/>
  </r>
  <r>
    <d v="2021-11-26T00:00:00"/>
    <x v="18"/>
    <x v="1"/>
    <x v="5"/>
    <x v="16"/>
    <n v="25325"/>
    <s v="embrayage "/>
    <s v="disque d'embrayage "/>
    <x v="0"/>
    <s v="sortie hors sté et reparation du probleme d'embrayage et changement du disque d'embrayage marque adapteble "/>
    <m/>
    <n v="570"/>
    <n v="570"/>
    <x v="428"/>
    <m/>
    <m/>
    <x v="0"/>
    <x v="0"/>
  </r>
  <r>
    <d v="2021-11-27T00:00:00"/>
    <x v="16"/>
    <x v="1"/>
    <x v="5"/>
    <x v="14"/>
    <n v="24699"/>
    <s v="fuite d'air "/>
    <s v="tuyau d'air"/>
    <x v="0"/>
    <s v="réparation du fuited'air  et chanelment des prise rapide"/>
    <n v="171554"/>
    <n v="180"/>
    <n v="180"/>
    <x v="406"/>
    <m/>
    <m/>
    <x v="0"/>
    <x v="0"/>
  </r>
  <r>
    <d v="2021-11-30T00:00:00"/>
    <x v="15"/>
    <x v="2"/>
    <x v="10"/>
    <x v="2"/>
    <n v="25310"/>
    <s v="essieu arriere "/>
    <s v="roullemet "/>
    <x v="0"/>
    <s v="changemlent du kit réparation d'e moyeu de roue coté arriere gauche"/>
    <n v="174522"/>
    <n v="240"/>
    <n v="240"/>
    <x v="255"/>
    <m/>
    <m/>
    <x v="0"/>
    <x v="0"/>
  </r>
  <r>
    <d v="2021-11-30T00:00:00"/>
    <x v="16"/>
    <x v="1"/>
    <x v="5"/>
    <x v="14"/>
    <n v="25312"/>
    <s v="eclairage "/>
    <s v="des lampes "/>
    <x v="0"/>
    <s v="réparation declairage "/>
    <n v="173754"/>
    <n v="30"/>
    <n v="30"/>
    <x v="255"/>
    <m/>
    <m/>
    <x v="0"/>
    <x v="0"/>
  </r>
  <r>
    <d v="2021-11-30T00:00:00"/>
    <x v="17"/>
    <x v="5"/>
    <x v="11"/>
    <x v="15"/>
    <n v="25322"/>
    <s v="moteur thermique"/>
    <s v="refroidissement erriguliaire "/>
    <x v="0"/>
    <s v="changment du joint de culasse _x000a_et contrôle du culasse "/>
    <s v="173759_x000a_173766"/>
    <n v="1710"/>
    <n v="2280"/>
    <x v="429"/>
    <m/>
    <m/>
    <x v="0"/>
    <x v="0"/>
  </r>
  <r>
    <d v="2021-12-02T00:00:00"/>
    <x v="20"/>
    <x v="1"/>
    <x v="6"/>
    <x v="17"/>
    <n v="25314"/>
    <s v="transmission "/>
    <s v="boite vitesse "/>
    <x v="0"/>
    <s v="réparation du probleme au niveeau du boite de vitesse "/>
    <n v="17"/>
    <n v="240"/>
    <n v="240"/>
    <x v="430"/>
    <m/>
    <m/>
    <x v="0"/>
    <x v="0"/>
  </r>
  <r>
    <d v="2021-12-03T00:00:00"/>
    <x v="42"/>
    <x v="11"/>
    <x v="28"/>
    <x v="28"/>
    <n v="25323"/>
    <s v="fuite d'huile hydraulique "/>
    <s v="flexible percé"/>
    <x v="0"/>
    <s v="réparation du flexible hydraulique et cangement du flexible hydraulique "/>
    <n v="173761"/>
    <n v="180"/>
    <n v="570"/>
    <x v="431"/>
    <m/>
    <m/>
    <x v="0"/>
    <x v="0"/>
  </r>
  <r>
    <d v="2021-12-03T00:00:00"/>
    <x v="4"/>
    <x v="1"/>
    <x v="3"/>
    <x v="4"/>
    <n v="25326"/>
    <s v="refroidissement"/>
    <s v="vase d'expantion"/>
    <x v="0"/>
    <s v="réparation du probleme de freinage et chengement du vase d'expantion "/>
    <s v="173765_x000a_173785"/>
    <n v="180"/>
    <n v="180"/>
    <x v="431"/>
    <m/>
    <m/>
    <x v="0"/>
    <x v="0"/>
  </r>
  <r>
    <d v="2021-12-03T00:00:00"/>
    <x v="14"/>
    <x v="6"/>
    <x v="9"/>
    <x v="2"/>
    <n v="25328"/>
    <s v="pneu"/>
    <s v="usure "/>
    <x v="0"/>
    <s v="changement du deux pneu ref 10*16,5/8"/>
    <n v="173769"/>
    <n v="180"/>
    <n v="180"/>
    <x v="431"/>
    <m/>
    <m/>
    <x v="0"/>
    <x v="0"/>
  </r>
  <r>
    <d v="2021-12-03T00:00:00"/>
    <x v="10"/>
    <x v="1"/>
    <x v="8"/>
    <x v="10"/>
    <n v="25330"/>
    <s v="eclairage "/>
    <s v="des lampes "/>
    <x v="0"/>
    <s v="réparation d'eclairage"/>
    <n v="173771"/>
    <n v="120"/>
    <n v="120"/>
    <x v="431"/>
    <m/>
    <m/>
    <x v="0"/>
    <x v="0"/>
  </r>
  <r>
    <d v="2021-12-03T00:00:00"/>
    <x v="2"/>
    <x v="2"/>
    <x v="2"/>
    <x v="2"/>
    <n v="25337"/>
    <s v="chaine de levage "/>
    <s v="chaine de levage "/>
    <x v="0"/>
    <s v="réparation du fixation du chaine de levage "/>
    <n v="174"/>
    <n v="240"/>
    <n v="240"/>
    <x v="431"/>
    <m/>
    <m/>
    <x v="0"/>
    <x v="0"/>
  </r>
  <r>
    <d v="2021-12-03T00:00:00"/>
    <x v="10"/>
    <x v="1"/>
    <x v="8"/>
    <x v="10"/>
    <n v="25344"/>
    <s v="camion en panne "/>
    <s v="bruit anormale"/>
    <x v="0"/>
    <s v="sortie hors sté pour réaparation du camion renault _x000a_dépose et pose du miteur thermique pour change leur _x000a_des poussoires endommagée _x000a_arbre a came _x000a_pochette joint complet _x000a_pompe a huile moteur _x000a_kit d&quot;embrayage complet _x000a_pompe a eau  capteur de posision moteur manometre d'hile moteur _x000a_vidange d'huile moteur et changement du filtre a huile _x000a_743000 km"/>
    <s v="173772_x000a_173792_x000a_173455_x000a_174574_x000a_174882_x000a_174881"/>
    <n v="6840"/>
    <n v="14500"/>
    <x v="432"/>
    <m/>
    <m/>
    <x v="0"/>
    <x v="0"/>
  </r>
  <r>
    <d v="2021-12-04T00:00:00"/>
    <x v="24"/>
    <x v="0"/>
    <x v="0"/>
    <x v="19"/>
    <n v="26104"/>
    <s v="Tachygraphe"/>
    <s v="réparation "/>
    <x v="0"/>
    <s v="réparation du tachygraphe "/>
    <n v="174585"/>
    <n v="360"/>
    <n v="360"/>
    <x v="429"/>
    <m/>
    <m/>
    <x v="0"/>
    <x v="0"/>
  </r>
  <r>
    <d v="2021-12-05T00:00:00"/>
    <x v="12"/>
    <x v="3"/>
    <x v="3"/>
    <x v="12"/>
    <n v="26105"/>
    <s v="Tachygraphe"/>
    <s v="réparation "/>
    <x v="0"/>
    <s v="réparation du tachygraphe "/>
    <n v="174586"/>
    <n v="360"/>
    <n v="360"/>
    <x v="433"/>
    <m/>
    <m/>
    <x v="0"/>
    <x v="0"/>
  </r>
  <r>
    <d v="2021-12-07T00:00:00"/>
    <x v="7"/>
    <x v="1"/>
    <x v="5"/>
    <x v="7"/>
    <n v="25331"/>
    <s v="Entretien"/>
    <s v="vidange"/>
    <x v="0"/>
    <s v="vidange d'huile moteur 15w40_x000a_changement du filtre a gasoil et filtre a huile moteur _x000a_563250 km"/>
    <n v="173783"/>
    <n v="120"/>
    <n v="120"/>
    <x v="434"/>
    <m/>
    <m/>
    <x v="0"/>
    <x v="0"/>
  </r>
  <r>
    <d v="2021-12-07T00:00:00"/>
    <x v="23"/>
    <x v="3"/>
    <x v="6"/>
    <x v="18"/>
    <n v="25332"/>
    <s v="signalisation "/>
    <s v="klaxon "/>
    <x v="0"/>
    <s v="changement du klaxon 24 V"/>
    <n v="173788"/>
    <n v="120"/>
    <n v="120"/>
    <x v="434"/>
    <m/>
    <m/>
    <x v="0"/>
    <x v="0"/>
  </r>
  <r>
    <d v="2021-12-07T00:00:00"/>
    <x v="9"/>
    <x v="5"/>
    <x v="7"/>
    <x v="9"/>
    <n v="25333"/>
    <s v="freinage "/>
    <s v="garniture de frein "/>
    <x v="0"/>
    <s v="changement du jeu de garniture de frein arriere _x000a_reglage du frein avant _x000a_"/>
    <s v="17435_x000a_173789"/>
    <n v="2280"/>
    <n v="120"/>
    <x v="416"/>
    <m/>
    <m/>
    <x v="0"/>
    <x v="0"/>
  </r>
  <r>
    <d v="2021-12-08T00:00:00"/>
    <x v="28"/>
    <x v="2"/>
    <x v="13"/>
    <x v="2"/>
    <n v="25350"/>
    <s v="essieu arriere "/>
    <s v="usure "/>
    <x v="0"/>
    <s v="réparation d'essieu arriere changeent des chappe de direction et des rotule de direction et des bagues usée _x000a_changement du kit moyeu de roue _x000a_changement du axe moyeu de roue arriere droit"/>
    <n v="174573"/>
    <n v="1140"/>
    <n v="3420"/>
    <x v="435"/>
    <m/>
    <m/>
    <x v="0"/>
    <x v="0"/>
  </r>
  <r>
    <d v="2021-12-09T00:00:00"/>
    <x v="9"/>
    <x v="5"/>
    <x v="7"/>
    <x v="9"/>
    <n v="25327"/>
    <s v="freinage "/>
    <s v="garniture de frein "/>
    <x v="0"/>
    <s v="répareation du probleme de freinage et reglage du jeu de freinage "/>
    <n v="173768"/>
    <n v="360"/>
    <n v="360"/>
    <x v="436"/>
    <m/>
    <m/>
    <x v="0"/>
    <x v="0"/>
  </r>
  <r>
    <d v="2021-12-09T00:00:00"/>
    <x v="15"/>
    <x v="2"/>
    <x v="10"/>
    <x v="2"/>
    <n v="25335"/>
    <s v="essieu arriere "/>
    <s v="kit moyeu"/>
    <x v="0"/>
    <s v="changement du kit moyeude roue arriere droit"/>
    <n v="173795"/>
    <n v="180"/>
    <n v="180"/>
    <x v="436"/>
    <m/>
    <m/>
    <x v="0"/>
    <x v="0"/>
  </r>
  <r>
    <d v="2021-12-10T00:00:00"/>
    <x v="20"/>
    <x v="1"/>
    <x v="6"/>
    <x v="17"/>
    <n v="26103"/>
    <s v="transmission "/>
    <s v="boite vitesse "/>
    <x v="0"/>
    <s v="réparation du probleme de transmission et changement du boite de vitesse achat bon occasion _x000a_"/>
    <s v="174584_x000a_174591_x000a_174877_x000a_174879"/>
    <n v="1710"/>
    <n v="5700"/>
    <x v="437"/>
    <m/>
    <m/>
    <x v="0"/>
    <x v="0"/>
  </r>
  <r>
    <d v="2021-12-11T00:00:00"/>
    <x v="18"/>
    <x v="1"/>
    <x v="5"/>
    <x v="16"/>
    <n v="25336"/>
    <s v="refroidissement"/>
    <s v="durite d'eau "/>
    <x v="0"/>
    <s v="réparation du probleme de refroidiisement moteur et réparation du fuite d'eau"/>
    <n v="174556"/>
    <n v="240"/>
    <n v="240"/>
    <x v="416"/>
    <m/>
    <m/>
    <x v="0"/>
    <x v="0"/>
  </r>
  <r>
    <d v="2021-12-11T00:00:00"/>
    <x v="7"/>
    <x v="1"/>
    <x v="5"/>
    <x v="7"/>
    <n v="25338"/>
    <s v="camion en panne "/>
    <s v="embrayage "/>
    <x v="0"/>
    <s v="sortie hors ste pour réparation du probleme de fuite d'huile d'embrayage au niveau du pompe d'embrayage inferieure "/>
    <n v="174558"/>
    <n v="570"/>
    <n v="570"/>
    <x v="426"/>
    <m/>
    <m/>
    <x v="0"/>
    <x v="0"/>
  </r>
  <r>
    <d v="2021-12-11T00:00:00"/>
    <x v="16"/>
    <x v="1"/>
    <x v="5"/>
    <x v="14"/>
    <n v="25340"/>
    <s v="démarrage "/>
    <s v="battrie de démarrage "/>
    <x v="0"/>
    <s v="sortie hors ste pour déppanage du camion e changement de deux courroie de ventulateur et pompe"/>
    <n v="174559"/>
    <n v="570"/>
    <n v="570"/>
    <x v="426"/>
    <m/>
    <m/>
    <x v="0"/>
    <x v="0"/>
  </r>
  <r>
    <d v="2021-12-11T00:00:00"/>
    <x v="18"/>
    <x v="1"/>
    <x v="5"/>
    <x v="16"/>
    <n v="25348"/>
    <s v="freinage "/>
    <s v="garniture de frein "/>
    <x v="0"/>
    <s v="changement du deux jeu de garniture de frein _x000a_rectification des tambour de frein _x000a_vidange d'huile mmoteiur _x000a_changement des filtre a huile et filtre agasoil _x000a_836200 km "/>
    <s v="174570_x000a_174648"/>
    <n v="2850"/>
    <n v="3420"/>
    <x v="437"/>
    <m/>
    <m/>
    <x v="0"/>
    <x v="0"/>
  </r>
  <r>
    <d v="2021-12-12T00:00:00"/>
    <x v="26"/>
    <x v="2"/>
    <x v="15"/>
    <x v="2"/>
    <n v="25334"/>
    <s v="chaine de levage "/>
    <s v="chaine de levage "/>
    <x v="0"/>
    <s v="réparation du fixation de chaine ellimination du verin laterale "/>
    <n v="173793"/>
    <n v="360"/>
    <n v="360"/>
    <x v="426"/>
    <m/>
    <m/>
    <x v="0"/>
    <x v="0"/>
  </r>
  <r>
    <d v="2021-12-13T00:00:00"/>
    <x v="17"/>
    <x v="5"/>
    <x v="11"/>
    <x v="15"/>
    <n v="25342"/>
    <s v="suspension"/>
    <s v="usure "/>
    <x v="0"/>
    <s v="réparation des elemnt de suspention "/>
    <n v="174565"/>
    <n v="570"/>
    <n v="570"/>
    <x v="438"/>
    <m/>
    <m/>
    <x v="0"/>
    <x v="0"/>
  </r>
  <r>
    <d v="2021-12-13T00:00:00"/>
    <x v="1"/>
    <x v="1"/>
    <x v="1"/>
    <x v="1"/>
    <n v="25346"/>
    <s v="suspension"/>
    <s v="usure "/>
    <x v="0"/>
    <s v="réparation des elemnt de suspention "/>
    <n v="174566"/>
    <n v="570"/>
    <n v="570"/>
    <x v="435"/>
    <m/>
    <m/>
    <x v="0"/>
    <x v="0"/>
  </r>
  <r>
    <d v="2021-12-13T00:00:00"/>
    <x v="7"/>
    <x v="1"/>
    <x v="5"/>
    <x v="7"/>
    <n v="25347"/>
    <s v="suspension"/>
    <s v="usure "/>
    <x v="0"/>
    <s v="réparation des elemnt de suspention "/>
    <n v="174567"/>
    <n v="570"/>
    <n v="570"/>
    <x v="439"/>
    <m/>
    <m/>
    <x v="0"/>
    <x v="0"/>
  </r>
  <r>
    <d v="2021-12-14T00:00:00"/>
    <x v="22"/>
    <x v="2"/>
    <x v="14"/>
    <x v="2"/>
    <n v="25349"/>
    <s v="démarrage "/>
    <s v="contact de démarrage "/>
    <x v="0"/>
    <s v="changement du contact de démarrage "/>
    <n v="1474572"/>
    <n v="120"/>
    <n v="120"/>
    <x v="435"/>
    <m/>
    <m/>
    <x v="0"/>
    <x v="0"/>
  </r>
  <r>
    <d v="2021-12-14T00:00:00"/>
    <x v="19"/>
    <x v="7"/>
    <x v="12"/>
    <x v="2"/>
    <n v="26101"/>
    <s v="transmission "/>
    <s v="support cardon "/>
    <x v="0"/>
    <s v="changement du support cardon_x000a_lavag et graissage generale d'engin "/>
    <n v="174579"/>
    <n v="360"/>
    <n v="36"/>
    <x v="440"/>
    <m/>
    <m/>
    <x v="0"/>
    <x v="0"/>
  </r>
  <r>
    <d v="2021-12-15T00:00:00"/>
    <x v="29"/>
    <x v="2"/>
    <x v="16"/>
    <x v="2"/>
    <n v="26108"/>
    <s v="marche avant arriere"/>
    <s v="pont avant "/>
    <x v="0"/>
    <s v="réparation du probleme de pont avant pour marche avant arriere _x000a_récuperation du pont avant du chariot elevateur linde H40_x000a_pour essaie _x000a_"/>
    <s v="174876_x000a_174863_x000a_174883_x000a_174436_x000a_175436_x000a_175434_x000a_175897_x000a_175588"/>
    <n v="7410"/>
    <n v="7410"/>
    <x v="441"/>
    <m/>
    <m/>
    <x v="0"/>
    <x v="0"/>
  </r>
  <r>
    <d v="2021-12-16T00:00:00"/>
    <x v="17"/>
    <x v="5"/>
    <x v="11"/>
    <x v="15"/>
    <n v="26102"/>
    <s v="transmission "/>
    <s v="support cardon "/>
    <x v="0"/>
    <s v="changement du deux support cardon et 3 crosillon de cardon _x000a_réparation du frein de stationnement _x000a_vidange d'huile moteur 15 W40_x000a_vidange d'ehuiele de boite de vitsees et pont arriere _x000a_161800 km"/>
    <s v="174582_x000a_174594_x000a_174596"/>
    <n v="1140"/>
    <n v="2280"/>
    <x v="442"/>
    <m/>
    <m/>
    <x v="0"/>
    <x v="0"/>
  </r>
  <r>
    <d v="2021-12-17T00:00:00"/>
    <x v="26"/>
    <x v="2"/>
    <x v="15"/>
    <x v="2"/>
    <n v="25339"/>
    <s v="boite de vitesse "/>
    <s v="marche av ar"/>
    <x v="0"/>
    <s v="dépose du boite de vitesse pour changé leur pompea huile et changement du distributeur de marche avant erriere  et joint du distributeur  _x000a_vidange d'huile moteur etchangement du filtre a huile _x000a_1851 h"/>
    <s v="174560_x000a_174563_x000a_174560_x000a_174597_x000a_174500_x000a_174587_x000a_174562"/>
    <m/>
    <e v="#VALUE!"/>
    <x v="57"/>
    <m/>
    <m/>
    <x v="0"/>
    <x v="0"/>
  </r>
  <r>
    <d v="2021-12-17T00:00:00"/>
    <x v="12"/>
    <x v="3"/>
    <x v="3"/>
    <x v="12"/>
    <n v="25341"/>
    <s v="eclairage "/>
    <s v="des lampes "/>
    <x v="0"/>
    <s v="réparation d'eclairage et changement des lampes"/>
    <n v="174564"/>
    <n v="160"/>
    <n v="160"/>
    <x v="437"/>
    <m/>
    <m/>
    <x v="0"/>
    <x v="0"/>
  </r>
  <r>
    <d v="2021-12-18T00:00:00"/>
    <x v="28"/>
    <x v="2"/>
    <x v="13"/>
    <x v="2"/>
    <n v="26107"/>
    <s v="démarrage "/>
    <s v="relais démarreur "/>
    <x v="0"/>
    <s v="changement du relais démarreur _x000a_réparation du fute d'huile _x000a_réparation du fuite d'huile "/>
    <s v="174858_x000a_174871"/>
    <n v="360"/>
    <n v="360"/>
    <x v="443"/>
    <m/>
    <m/>
    <x v="0"/>
    <x v="0"/>
  </r>
  <r>
    <d v="2021-12-19T00:00:00"/>
    <x v="16"/>
    <x v="1"/>
    <x v="5"/>
    <x v="14"/>
    <n v="26106"/>
    <s v="démarrage "/>
    <s v="des battries"/>
    <x v="0"/>
    <s v="changement du deux battrie ref l5_x000a_reparation d'eclairage "/>
    <n v="174592"/>
    <n v="120"/>
    <n v="120"/>
    <x v="442"/>
    <m/>
    <m/>
    <x v="0"/>
    <x v="0"/>
  </r>
  <r>
    <d v="2021-12-20T00:00:00"/>
    <x v="5"/>
    <x v="3"/>
    <x v="3"/>
    <x v="5"/>
    <n v="26112"/>
    <s v="démarrage "/>
    <s v="démarreur"/>
    <x v="0"/>
    <s v="réparation du problème de démarrage et changement du flasque de démarreur _x000a_réparation du fute d'eau "/>
    <n v="174870"/>
    <n v="1140"/>
    <n v="2280"/>
    <x v="444"/>
    <m/>
    <m/>
    <x v="0"/>
    <x v="0"/>
  </r>
  <r>
    <d v="2021-12-20T00:00:00"/>
    <x v="17"/>
    <x v="5"/>
    <x v="11"/>
    <x v="15"/>
    <n v="26113"/>
    <s v="eclairage "/>
    <s v="des lampes "/>
    <x v="0"/>
    <s v="réparation d'eclairage e&quot;t changement des lampes "/>
    <s v="174872_x000a_174875"/>
    <n v="120"/>
    <n v="120"/>
    <x v="444"/>
    <m/>
    <m/>
    <x v="0"/>
    <x v="0"/>
  </r>
  <r>
    <d v="2021-12-20T00:00:00"/>
    <x v="22"/>
    <x v="2"/>
    <x v="14"/>
    <x v="2"/>
    <n v="26120"/>
    <s v="boite de vitesse "/>
    <s v="reparation du prbleme marche av ar"/>
    <x v="0"/>
    <s v="R2PARATION DU PROBLEME DE MARCHE AVANT ARRIERE AU niveau du boite de vitesse _x000a_changement du pompe d'huile de boite de itesse _x000a_achat bon occasion "/>
    <s v="175402_x000a_175410_x000a_175418"/>
    <n v="3420"/>
    <n v="9600"/>
    <x v="445"/>
    <m/>
    <m/>
    <x v="0"/>
    <x v="0"/>
  </r>
  <r>
    <d v="2021-12-22T00:00:00"/>
    <x v="8"/>
    <x v="3"/>
    <x v="6"/>
    <x v="8"/>
    <n v="26109"/>
    <s v="eclairage "/>
    <s v="des lampes "/>
    <x v="0"/>
    <s v="réparatin d'eclairageet changeùent des lampes "/>
    <n v="174864"/>
    <n v="180"/>
    <n v="180"/>
    <x v="443"/>
    <m/>
    <m/>
    <x v="0"/>
    <x v="0"/>
  </r>
  <r>
    <d v="2021-12-23T00:00:00"/>
    <x v="13"/>
    <x v="1"/>
    <x v="5"/>
    <x v="13"/>
    <n v="26110"/>
    <s v="fuite d'eau "/>
    <s v="durite d'eau "/>
    <x v="0"/>
    <s v="réparation du fuite d'eau et changement du durite dde liquide de refroidissement "/>
    <n v="174865"/>
    <n v="180"/>
    <n v="180"/>
    <x v="446"/>
    <m/>
    <m/>
    <x v="0"/>
    <x v="0"/>
  </r>
  <r>
    <d v="2021-12-23T00:00:00"/>
    <x v="33"/>
    <x v="2"/>
    <x v="18"/>
    <x v="2"/>
    <n v="26111"/>
    <s v="Entretien"/>
    <s v="vidange"/>
    <x v="0"/>
    <s v="vidange d'ehuile moteur 15W40_x000a_lavage et graissage generale d'engin _x000a_réparation du fuite d'huile "/>
    <n v="174867"/>
    <n v="120"/>
    <n v="120"/>
    <x v="446"/>
    <m/>
    <m/>
    <x v="0"/>
    <x v="0"/>
  </r>
  <r>
    <d v="2021-12-24T00:00:00"/>
    <x v="4"/>
    <x v="1"/>
    <x v="3"/>
    <x v="4"/>
    <n v="26114"/>
    <s v="Entretien"/>
    <s v="vidange"/>
    <x v="1"/>
    <s v="vidange d'huile moteur 15W40_x000a_lavage et graissage dengin _x000a_241900 km"/>
    <n v="174873"/>
    <n v="120"/>
    <n v="120"/>
    <x v="444"/>
    <m/>
    <m/>
    <x v="0"/>
    <x v="0"/>
  </r>
  <r>
    <d v="2021-12-24T00:00:00"/>
    <x v="8"/>
    <x v="3"/>
    <x v="6"/>
    <x v="8"/>
    <n v="24115"/>
    <s v="Entretien"/>
    <s v="vidange"/>
    <x v="1"/>
    <s v="vidange d'huile moteur 15W40_x000a_réparation du fuite d'air _x000a_lavage et graissage d'engin _x000a_773522km"/>
    <n v="174874"/>
    <n v="120"/>
    <n v="120"/>
    <x v="444"/>
    <m/>
    <m/>
    <x v="0"/>
    <x v="0"/>
  </r>
  <r>
    <d v="2021-12-26T00:00:00"/>
    <x v="7"/>
    <x v="1"/>
    <x v="5"/>
    <x v="7"/>
    <n v="24116"/>
    <s v="mélange d'huile avec eau "/>
    <s v="réfrigarant moteur "/>
    <x v="0"/>
    <s v="lavage du circuit de refroidissement moteur _x000a_réparation du fuite d'eau "/>
    <n v="174898"/>
    <n v="570"/>
    <n v="570"/>
    <x v="447"/>
    <m/>
    <m/>
    <x v="0"/>
    <x v="0"/>
  </r>
  <r>
    <d v="2021-12-28T00:00:00"/>
    <x v="12"/>
    <x v="3"/>
    <x v="3"/>
    <x v="12"/>
    <n v="26117"/>
    <s v="courroie d'acessoires "/>
    <s v="jeu des tondeur "/>
    <x v="0"/>
    <s v="changement de jeu de courroie d'alternateur complet"/>
    <s v="174880_x000a_175406_x000a_175408"/>
    <n v="360"/>
    <n v="360"/>
    <x v="448"/>
    <m/>
    <m/>
    <x v="0"/>
    <x v="0"/>
  </r>
  <r>
    <d v="2021-12-28T00:00:00"/>
    <x v="23"/>
    <x v="3"/>
    <x v="6"/>
    <x v="18"/>
    <n v="26118"/>
    <s v="Entretien"/>
    <s v="vidange"/>
    <x v="1"/>
    <s v="vidange d'huile moteur et lavage du circuite de refroidissement _x000a_lavage et graissage generale d'engin _x000a_48300 km"/>
    <n v="174891"/>
    <n v="240"/>
    <n v="240"/>
    <x v="448"/>
    <m/>
    <m/>
    <x v="0"/>
    <x v="0"/>
  </r>
  <r>
    <d v="2021-12-28T00:00:00"/>
    <x v="42"/>
    <x v="2"/>
    <x v="28"/>
    <x v="28"/>
    <n v="26119"/>
    <s v="fuite f'huile "/>
    <s v="flexible percé"/>
    <x v="0"/>
    <s v="réparation du flexible d'huile et changemnt du flexible "/>
    <n v="174894"/>
    <n v="240"/>
    <n v="240"/>
    <x v="448"/>
    <m/>
    <m/>
    <x v="0"/>
    <x v="0"/>
  </r>
  <r>
    <d v="2022-01-01T00:00:00"/>
    <x v="24"/>
    <x v="0"/>
    <x v="0"/>
    <x v="19"/>
    <n v="26088"/>
    <s v="Entretien"/>
    <s v="vidange"/>
    <x v="1"/>
    <s v="vidange d'huile teur et changement du jeudes filtres _x000a_filtre a huile ref 1109ay_x000a_filtre a gasoil ref 980971080_x000a_filtre a air ref 1444tv_x000a_225000 km"/>
    <m/>
    <m/>
    <s v=""/>
    <x v="449"/>
    <m/>
    <m/>
    <x v="0"/>
    <x v="0"/>
  </r>
  <r>
    <d v="2022-01-03T00:00:00"/>
    <x v="10"/>
    <x v="1"/>
    <x v="8"/>
    <x v="10"/>
    <n v="26124"/>
    <s v="moteur thermique"/>
    <s v="pompe d'hule moteur"/>
    <x v="0"/>
    <s v="changement du pompe d'huile moteur "/>
    <m/>
    <n v="2280"/>
    <n v="5700"/>
    <x v="450"/>
    <m/>
    <m/>
    <x v="0"/>
    <x v="0"/>
  </r>
  <r>
    <d v="2022-01-05T00:00:00"/>
    <x v="16"/>
    <x v="1"/>
    <x v="5"/>
    <x v="14"/>
    <n v="26089"/>
    <s v="Entretien"/>
    <s v="vidange"/>
    <x v="1"/>
    <s v="vidanged'huile moteur 15w40_x000a_ cangement du filtre a huile ref ME034611_x000a_filtre a gasoil ME 016841_x000a_687800 KM"/>
    <n v="175078"/>
    <n v="120"/>
    <n v="120"/>
    <x v="451"/>
    <m/>
    <m/>
    <x v="0"/>
    <x v="0"/>
  </r>
  <r>
    <d v="2022-01-05T00:00:00"/>
    <x v="3"/>
    <x v="1"/>
    <x v="3"/>
    <x v="3"/>
    <n v="26091"/>
    <s v="pneu"/>
    <s v="usure "/>
    <x v="0"/>
    <s v="changement du deux pneu ref 315/80R22,5_x000a_HHB13593A HHB13049A"/>
    <n v="175085"/>
    <n v="120"/>
    <n v="120"/>
    <x v="451"/>
    <m/>
    <m/>
    <x v="0"/>
    <x v="0"/>
  </r>
  <r>
    <d v="2022-01-07T00:00:00"/>
    <x v="20"/>
    <x v="1"/>
    <x v="6"/>
    <x v="17"/>
    <n v="26092"/>
    <s v="PNEU"/>
    <s v="usure "/>
    <x v="0"/>
    <s v="changemebt du deux pneu ref 11R22,5_x000a_jante ref 11R22,5_x000a_E2S870412_x000a_E2S870227"/>
    <n v="175091"/>
    <n v="120"/>
    <n v="120"/>
    <x v="452"/>
    <m/>
    <m/>
    <x v="0"/>
    <x v="0"/>
  </r>
  <r>
    <d v="2022-01-07T00:00:00"/>
    <x v="18"/>
    <x v="1"/>
    <x v="5"/>
    <x v="16"/>
    <n v="26093"/>
    <s v="démarrage "/>
    <s v="battrie de démarrage "/>
    <x v="0"/>
    <s v="changement du deux battrie de démarrage 12V l 5 _x000a_réparation declairage"/>
    <n v="175093"/>
    <n v="180"/>
    <n v="180"/>
    <x v="452"/>
    <m/>
    <m/>
    <x v="0"/>
    <x v="0"/>
  </r>
  <r>
    <d v="2022-01-08T00:00:00"/>
    <x v="23"/>
    <x v="3"/>
    <x v="6"/>
    <x v="18"/>
    <n v="26121"/>
    <s v="fuite d'air "/>
    <s v="tuyau d'air"/>
    <x v="0"/>
    <s v="réparation du fuite d'air comprimé _x000a_montage du klaxon _x000a_changement du jeu de balai d'eesuie glace "/>
    <n v="175408"/>
    <n v="180"/>
    <n v="180"/>
    <x v="453"/>
    <m/>
    <m/>
    <x v="0"/>
    <x v="0"/>
  </r>
  <r>
    <d v="2022-01-08T00:00:00"/>
    <x v="15"/>
    <x v="2"/>
    <x v="10"/>
    <x v="2"/>
    <n v="26123"/>
    <s v="essieu arriere "/>
    <s v="kit moyeu de roue "/>
    <x v="0"/>
    <s v="changement du kite reparation du moyeu de roue "/>
    <s v="175407_x000a_175405"/>
    <n v="240"/>
    <n v="240"/>
    <x v="453"/>
    <m/>
    <m/>
    <x v="0"/>
    <x v="0"/>
  </r>
  <r>
    <d v="2022-01-09T00:00:00"/>
    <x v="16"/>
    <x v="1"/>
    <x v="5"/>
    <x v="14"/>
    <n v="26126"/>
    <s v="freinage "/>
    <s v="plaquette de frein "/>
    <x v="0"/>
    <s v="changement du deux jeu de plaquette de frein avant et arriere"/>
    <n v="175414"/>
    <n v="570"/>
    <n v="570"/>
    <x v="454"/>
    <m/>
    <m/>
    <x v="0"/>
    <x v="0"/>
  </r>
  <r>
    <d v="2022-01-11T00:00:00"/>
    <x v="16"/>
    <x v="1"/>
    <x v="5"/>
    <x v="14"/>
    <n v="26125"/>
    <s v="eclairage "/>
    <s v="des lampes "/>
    <x v="0"/>
    <s v="réparation d'ecmlairage et cjhangement des lampes "/>
    <n v="175412"/>
    <n v="120"/>
    <n v="120"/>
    <x v="455"/>
    <m/>
    <m/>
    <x v="0"/>
    <x v="0"/>
  </r>
  <r>
    <d v="2022-01-13T00:00:00"/>
    <x v="5"/>
    <x v="3"/>
    <x v="3"/>
    <x v="5"/>
    <n v="26127"/>
    <s v="fuite d'air "/>
    <s v="flexible percé"/>
    <x v="0"/>
    <s v="réparatoion du fuite d'air et changement du flexible "/>
    <n v="175423"/>
    <n v="570"/>
    <n v="570"/>
    <x v="456"/>
    <m/>
    <m/>
    <x v="0"/>
    <x v="0"/>
  </r>
  <r>
    <d v="2022-01-14T00:00:00"/>
    <x v="28"/>
    <x v="2"/>
    <x v="13"/>
    <x v="2"/>
    <n v="26128"/>
    <s v="Entretien"/>
    <s v="vidange"/>
    <x v="1"/>
    <s v="vidange d'huile moteur 15W40_x000a_lavage et graissage generale d'engin _x000a_changement du filtre a air _x000a_26600 h"/>
    <n v="175426"/>
    <n v="120"/>
    <n v="120"/>
    <x v="457"/>
    <m/>
    <m/>
    <x v="0"/>
    <x v="0"/>
  </r>
  <r>
    <d v="2022-01-17T00:00:00"/>
    <x v="42"/>
    <x v="2"/>
    <x v="28"/>
    <x v="28"/>
    <n v="26905"/>
    <s v="pont avant "/>
    <s v="ususre du moteur hydraulique"/>
    <x v="0"/>
    <s v="changement du pont avant complet_x000a_achat du pont avant du laferaile et montage du vendeur "/>
    <n v="178328"/>
    <n v="4222"/>
    <n v="4222"/>
    <x v="458"/>
    <m/>
    <m/>
    <x v="0"/>
    <x v="0"/>
  </r>
  <r>
    <d v="2022-01-18T00:00:00"/>
    <x v="18"/>
    <x v="1"/>
    <x v="5"/>
    <x v="16"/>
    <n v="26129"/>
    <s v="eclairage "/>
    <s v="des lampes "/>
    <x v="0"/>
    <s v="réparation d'eclairage et changement des lampes "/>
    <n v="175438"/>
    <n v="120"/>
    <n v="120"/>
    <x v="459"/>
    <m/>
    <m/>
    <x v="0"/>
    <x v="0"/>
  </r>
  <r>
    <d v="2022-01-20T00:00:00"/>
    <x v="10"/>
    <x v="1"/>
    <x v="8"/>
    <x v="10"/>
    <n v="26130"/>
    <s v="fuite d'huie "/>
    <s v="flexible percé"/>
    <x v="0"/>
    <s v="réparation du fuite d'huile et changement du flexible hydraulique pour circuit de direction assisté"/>
    <n v="175444"/>
    <n v="1140"/>
    <n v="1140"/>
    <x v="460"/>
    <m/>
    <m/>
    <x v="0"/>
    <x v="0"/>
  </r>
  <r>
    <d v="2022-01-20T00:00:00"/>
    <x v="28"/>
    <x v="2"/>
    <x v="13"/>
    <x v="2"/>
    <n v="26131"/>
    <s v="eclairage "/>
    <s v="des lampes "/>
    <x v="0"/>
    <s v="réparation d'eclairage "/>
    <n v="175445"/>
    <n v="120"/>
    <n v="120"/>
    <x v="461"/>
    <m/>
    <m/>
    <x v="0"/>
    <x v="0"/>
  </r>
  <r>
    <d v="2022-01-21T00:00:00"/>
    <x v="5"/>
    <x v="3"/>
    <x v="3"/>
    <x v="5"/>
    <n v="26132"/>
    <s v="fuite d'eau "/>
    <s v="pipe d'eau "/>
    <x v="0"/>
    <s v="réparation du fuite d'ea&amp;u au niveau du pipe d'eau pour déplacé le camion a laferaile au but de changé lacabine et réparation du carosserie _x000a_réparation du probleme au niveau dumoteur thermique "/>
    <n v="176205"/>
    <n v="11400"/>
    <n v="11400"/>
    <x v="462"/>
    <m/>
    <m/>
    <x v="0"/>
    <x v="0"/>
  </r>
  <r>
    <d v="2022-01-21T00:00:00"/>
    <x v="7"/>
    <x v="1"/>
    <x v="5"/>
    <x v="7"/>
    <n v="26133"/>
    <s v="freinage "/>
    <s v="garniture de frein "/>
    <x v="0"/>
    <s v="changement duu deux jeu de garniture de frein et rectification des tambour de frein _x000a_chngement des roullement de roue arriere complet _x000a_des arrét de graisse _x000a_"/>
    <s v="175415_x000a_175421_x000a_175437_x000a_175437_x000a_175440_x000a_175442"/>
    <n v="2280"/>
    <n v="5130"/>
    <x v="461"/>
    <m/>
    <m/>
    <x v="0"/>
    <x v="0"/>
  </r>
  <r>
    <d v="2022-01-21T00:00:00"/>
    <x v="39"/>
    <x v="7"/>
    <x v="12"/>
    <x v="2"/>
    <n v="26135"/>
    <s v="culasse "/>
    <s v="melange du gasoil avec liquide de refroidissement "/>
    <x v="0"/>
    <s v="dépose et pose du culasse _x000a_et changeent des sleves des injecteurs _x000a_changement des guides soupape des soupape des siege soupape _x000a_des soupape d''admision et d'echappement _x000a_pochette roudage et joint culasse "/>
    <n v="175"/>
    <n v="5700"/>
    <n v="5700"/>
    <x v="463"/>
    <m/>
    <m/>
    <x v="0"/>
    <x v="0"/>
  </r>
  <r>
    <d v="2022-01-24T00:00:00"/>
    <x v="2"/>
    <x v="2"/>
    <x v="2"/>
    <x v="2"/>
    <n v="26138"/>
    <s v="Entretien"/>
    <s v="mise a niveau"/>
    <x v="1"/>
    <s v="mise a niveau d'hhuile hydraulique AW68"/>
    <n v="176211"/>
    <n v="30"/>
    <n v="30"/>
    <x v="464"/>
    <m/>
    <m/>
    <x v="0"/>
    <x v="0"/>
  </r>
  <r>
    <d v="2022-01-24T00:00:00"/>
    <x v="1"/>
    <x v="1"/>
    <x v="1"/>
    <x v="1"/>
    <n v="26139"/>
    <s v="eclairage "/>
    <s v="des lampes "/>
    <x v="0"/>
    <s v="réparation d'eclairage et changement des lampes "/>
    <n v="176214"/>
    <n v="60"/>
    <n v="60"/>
    <x v="464"/>
    <m/>
    <m/>
    <x v="0"/>
    <x v="0"/>
  </r>
  <r>
    <d v="2022-01-25T00:00:00"/>
    <x v="16"/>
    <x v="1"/>
    <x v="5"/>
    <x v="14"/>
    <n v="26140"/>
    <s v="eclairage "/>
    <s v="des lampes "/>
    <x v="0"/>
    <s v="réparation d'eclairage et changement des lames "/>
    <n v="176215"/>
    <n v="120"/>
    <n v="120"/>
    <x v="465"/>
    <m/>
    <m/>
    <x v="0"/>
    <x v="0"/>
  </r>
  <r>
    <d v="2022-01-25T00:00:00"/>
    <x v="17"/>
    <x v="5"/>
    <x v="11"/>
    <x v="15"/>
    <n v="26141"/>
    <s v="pneu"/>
    <s v="usure "/>
    <x v="0"/>
    <s v="changement du deux pneu ref 205/75R17,5_x000a_XZM124122  /  MVG MI"/>
    <n v="176218"/>
    <n v="120"/>
    <n v="120"/>
    <x v="465"/>
    <m/>
    <m/>
    <x v="0"/>
    <x v="0"/>
  </r>
  <r>
    <d v="2022-01-26T00:00:00"/>
    <x v="22"/>
    <x v="2"/>
    <x v="14"/>
    <x v="2"/>
    <n v="26137"/>
    <s v="boite de vitesse "/>
    <s v="marche av ar"/>
    <x v="0"/>
    <s v="dépose du boite de vitesse et démontage des pieces de boite de vitesse "/>
    <m/>
    <n v="14820"/>
    <n v="14820"/>
    <x v="466"/>
    <m/>
    <m/>
    <x v="0"/>
    <x v="0"/>
  </r>
  <r>
    <d v="2022-01-26T00:00:00"/>
    <x v="1"/>
    <x v="1"/>
    <x v="1"/>
    <x v="1"/>
    <n v="26146"/>
    <s v="freinage "/>
    <s v="garniture de fein "/>
    <x v="5"/>
    <s v="changement du deux jeu de garniture de frein av et ar  et changement des roullement de moyeu pour essieu arriere _x000a_et des arrét de graisse et _x000a_plaque de refrigerant moteur _x000a_"/>
    <s v="177054_x000a_177058_x000a_177060_x000a_177061_x000a_177077_x000a_177079_x000a_178330"/>
    <n v="3400"/>
    <n v="5700"/>
    <x v="467"/>
    <m/>
    <m/>
    <x v="0"/>
    <x v="0"/>
  </r>
  <r>
    <d v="2022-01-30T00:00:00"/>
    <x v="8"/>
    <x v="3"/>
    <x v="6"/>
    <x v="8"/>
    <n v="26142"/>
    <s v="Moyeu de roue "/>
    <s v="moyeu de roue "/>
    <x v="0"/>
    <s v="démontage et montage de moyeu de plateau _x000a_pour graissage et réparation "/>
    <n v="176241"/>
    <n v="180"/>
    <n v="180"/>
    <x v="468"/>
    <m/>
    <m/>
    <x v="0"/>
    <x v="0"/>
  </r>
  <r>
    <d v="2022-02-01T00:00:00"/>
    <x v="17"/>
    <x v="5"/>
    <x v="11"/>
    <x v="15"/>
    <n v="26143"/>
    <s v="eclairage "/>
    <s v="des lampes "/>
    <x v="0"/>
    <s v="réparation d'eclairage et changement de lampes "/>
    <n v="176247"/>
    <n v="60"/>
    <n v="60"/>
    <x v="469"/>
    <m/>
    <m/>
    <x v="0"/>
    <x v="0"/>
  </r>
  <r>
    <d v="2022-02-01T00:00:00"/>
    <x v="0"/>
    <x v="0"/>
    <x v="0"/>
    <x v="0"/>
    <n v="26144"/>
    <s v="tondeur du courroie "/>
    <s v="tondeur endommagé"/>
    <x v="0"/>
    <s v="changeent du jeu de courroie de distribution moyeu et jeu de courroie d'ccessoires "/>
    <n v="176248"/>
    <n v="960"/>
    <n v="0"/>
    <x v="469"/>
    <m/>
    <m/>
    <x v="0"/>
    <x v="0"/>
  </r>
  <r>
    <d v="2022-02-01T00:00:00"/>
    <x v="26"/>
    <x v="2"/>
    <x v="15"/>
    <x v="2"/>
    <m/>
    <m/>
    <m/>
    <x v="2"/>
    <s v="Achat convertisseur en cours"/>
    <m/>
    <m/>
    <n v="14820"/>
    <x v="470"/>
    <m/>
    <m/>
    <x v="0"/>
    <x v="0"/>
  </r>
  <r>
    <d v="2022-02-01T00:00:00"/>
    <x v="19"/>
    <x v="7"/>
    <x v="12"/>
    <x v="2"/>
    <m/>
    <s v="Echeance Vidange"/>
    <s v="vidange"/>
    <x v="1"/>
    <s v="Vidange + chgt filtre gasoil filtre à huile et filtre à air_x000a_2650h"/>
    <s v="164553_x000a_164559_x000a_164568_x000a_164568_x000a_164571_x000a_164574"/>
    <n v="60"/>
    <n v="60"/>
    <x v="469"/>
    <m/>
    <m/>
    <x v="0"/>
    <x v="0"/>
  </r>
  <r>
    <d v="2022-02-02T00:00:00"/>
    <x v="22"/>
    <x v="2"/>
    <x v="14"/>
    <x v="2"/>
    <n v="26147"/>
    <s v="tondeur de chaine "/>
    <s v="tondeur endommagé"/>
    <x v="0"/>
    <s v="changement du deux tondeur de chain confection par ATT"/>
    <n v="177055"/>
    <n v="360"/>
    <n v="360"/>
    <x v="471"/>
    <m/>
    <m/>
    <x v="0"/>
    <x v="0"/>
  </r>
  <r>
    <d v="2022-02-02T00:00:00"/>
    <x v="39"/>
    <x v="7"/>
    <x v="12"/>
    <x v="2"/>
    <n v="26079"/>
    <s v="moteur thermique"/>
    <s v="melange eau gasoil"/>
    <x v="0"/>
    <s v="réparation du probleme de melange eu et gasoil _x000a_changement du chambre des injecteur et des siege souipape et guide soupape _x000a_changemnt des soupape d'admission et d'echappement _x000a_changement du durite de liquide de refroidissement _x000a_20825 h_x000a_"/>
    <s v="177084_x000a_177689_x000a_177311"/>
    <n v="14820"/>
    <n v="14820"/>
    <x v="472"/>
    <m/>
    <m/>
    <x v="0"/>
    <x v="0"/>
  </r>
  <r>
    <d v="2022-02-03T00:00:00"/>
    <x v="2"/>
    <x v="2"/>
    <x v="2"/>
    <x v="2"/>
    <n v="26148"/>
    <s v="fuite d'huile hydraulique "/>
    <s v="flexible percé"/>
    <x v="0"/>
    <s v="changement du flkexible percé"/>
    <n v="177059"/>
    <n v="120"/>
    <n v="120"/>
    <x v="473"/>
    <m/>
    <m/>
    <x v="0"/>
    <x v="0"/>
  </r>
  <r>
    <d v="2022-02-04T00:00:00"/>
    <x v="8"/>
    <x v="3"/>
    <x v="6"/>
    <x v="8"/>
    <n v="26149"/>
    <s v="eclairage "/>
    <s v="des lampes "/>
    <x v="0"/>
    <s v="réparation d'eclairage et changement des lapmpes "/>
    <n v="177062"/>
    <n v="120"/>
    <n v="120"/>
    <x v="474"/>
    <m/>
    <m/>
    <x v="0"/>
    <x v="0"/>
  </r>
  <r>
    <d v="2022-02-05T00:00:00"/>
    <x v="9"/>
    <x v="5"/>
    <x v="7"/>
    <x v="9"/>
    <n v="26150"/>
    <s v="embrayage "/>
    <s v="pompe d'embrayage "/>
    <x v="0"/>
    <s v="changement du pompe d'embrayage superieur _x000a_et purge du circuit d'huile de'embrayage "/>
    <n v="177064"/>
    <n v="1140"/>
    <n v="1140"/>
    <x v="475"/>
    <m/>
    <m/>
    <x v="0"/>
    <x v="0"/>
  </r>
  <r>
    <d v="2022-02-05T00:00:00"/>
    <x v="11"/>
    <x v="3"/>
    <x v="3"/>
    <x v="11"/>
    <n v="26051"/>
    <s v="Entretien"/>
    <s v="vidange"/>
    <x v="0"/>
    <s v="vidange d'huile moteur 15W40_x000a_lavage et graissage generale d'engin _x000a_344540 km"/>
    <n v="177067"/>
    <n v="360"/>
    <n v="360"/>
    <x v="476"/>
    <m/>
    <m/>
    <x v="0"/>
    <x v="0"/>
  </r>
  <r>
    <d v="2022-02-08T00:00:00"/>
    <x v="8"/>
    <x v="3"/>
    <x v="6"/>
    <x v="8"/>
    <n v="26052"/>
    <s v="pneu "/>
    <s v="usure "/>
    <x v="0"/>
    <s v="changement du deux pneu ref 315/80R22,5_x000a_PH197708  /  PUH21210B  /  PUH212288P"/>
    <n v="177073"/>
    <n v="570"/>
    <n v="570"/>
    <x v="475"/>
    <m/>
    <m/>
    <x v="0"/>
    <x v="0"/>
  </r>
  <r>
    <d v="2022-02-09T00:00:00"/>
    <x v="3"/>
    <x v="1"/>
    <x v="3"/>
    <x v="3"/>
    <n v="26053"/>
    <s v="eclairage "/>
    <s v="des lampes "/>
    <x v="0"/>
    <s v="réparation d'eclaireg et changeùent des lampes_x000a_changement du klaxon 24 v "/>
    <n v="177078"/>
    <n v="120"/>
    <n v="120"/>
    <x v="477"/>
    <m/>
    <m/>
    <x v="0"/>
    <x v="0"/>
  </r>
  <r>
    <d v="2022-02-10T00:00:00"/>
    <x v="20"/>
    <x v="1"/>
    <x v="6"/>
    <x v="17"/>
    <n v="26136"/>
    <s v="fixation roue avant "/>
    <s v="moyeu de roue "/>
    <x v="0"/>
    <s v="sortie hors societe pour réparé et changé le moyeu de roue endommagé (moyeu de roue acheté bon occasion )_x000a_avant droit "/>
    <m/>
    <m/>
    <s v=""/>
    <x v="478"/>
    <m/>
    <m/>
    <x v="0"/>
    <x v="0"/>
  </r>
  <r>
    <d v="2022-02-10T00:00:00"/>
    <x v="5"/>
    <x v="3"/>
    <x v="3"/>
    <x v="5"/>
    <n v="26058"/>
    <s v="moteu et cabine "/>
    <s v="pourriture _x000a_temperature "/>
    <x v="0"/>
    <s v="peinture du plateau et soudage des fissures et du caisse d'outillage et _x000a_changement du moteur thermique achat bon occasion _x000a_changement du cabine acheté bon occasion_x000a_réparation duprobleme d'injecton gasoil  _x000a_787700 km"/>
    <s v="177432_x000a_177429_x000a_177408_x000a_177412_x000a_177688_x000a_177672"/>
    <n v="14800"/>
    <n v="14800"/>
    <x v="479"/>
    <m/>
    <m/>
    <x v="0"/>
    <x v="0"/>
  </r>
  <r>
    <d v="2022-02-11T00:00:00"/>
    <x v="17"/>
    <x v="5"/>
    <x v="11"/>
    <x v="15"/>
    <n v="26054"/>
    <s v="suspension"/>
    <s v="amortisseur "/>
    <x v="0"/>
    <s v="réparation du suspention et changement deudeux amortisseur avant "/>
    <n v="177083"/>
    <n v="360"/>
    <n v="360"/>
    <x v="480"/>
    <m/>
    <m/>
    <x v="0"/>
    <x v="0"/>
  </r>
  <r>
    <d v="2022-02-11T00:00:00"/>
    <x v="12"/>
    <x v="3"/>
    <x v="3"/>
    <x v="12"/>
    <n v="26055"/>
    <s v="eclairage "/>
    <s v="des lampes "/>
    <x v="0"/>
    <s v="réparation d'eclairage et changemment des lampes "/>
    <n v="177087"/>
    <n v="240"/>
    <n v="240"/>
    <x v="480"/>
    <m/>
    <m/>
    <x v="0"/>
    <x v="0"/>
  </r>
  <r>
    <d v="2022-02-12T00:00:00"/>
    <x v="23"/>
    <x v="3"/>
    <x v="6"/>
    <x v="18"/>
    <n v="26056"/>
    <s v="fuite d'air "/>
    <s v="flexible percé"/>
    <x v="0"/>
    <s v="reparation du fuite d'air et changement de flexible de gonflage et flexible d'air comprimé"/>
    <n v="177091"/>
    <n v="240"/>
    <n v="240"/>
    <x v="478"/>
    <m/>
    <m/>
    <x v="0"/>
    <x v="0"/>
  </r>
  <r>
    <d v="2022-02-12T00:00:00"/>
    <x v="5"/>
    <x v="3"/>
    <x v="3"/>
    <x v="5"/>
    <n v="26904"/>
    <s v="moteu et cabine "/>
    <s v="poriiture du cabine "/>
    <x v="0"/>
    <s v="changement du cabine et moteur tharmique achat du laferail et mointage hors sté _x000a_réparation u probleme d'injection gasoil _x000a_après l'achat du moteur "/>
    <n v="178327"/>
    <n v="11400"/>
    <n v="11400"/>
    <x v="481"/>
    <m/>
    <m/>
    <x v="0"/>
    <x v="0"/>
  </r>
  <r>
    <d v="2022-02-16T00:00:00"/>
    <x v="2"/>
    <x v="2"/>
    <x v="2"/>
    <x v="2"/>
    <n v="26057"/>
    <s v="levier distributeur "/>
    <s v="crdon levier "/>
    <x v="2"/>
    <s v="changement du cardon de levier de distributeur hydraulique et réparation et réparation u fuite hydraulique "/>
    <s v="177406_x000a_177421"/>
    <n v="360"/>
    <n v="360"/>
    <x v="482"/>
    <m/>
    <m/>
    <x v="0"/>
    <x v="0"/>
  </r>
  <r>
    <d v="2022-02-17T00:00:00"/>
    <x v="0"/>
    <x v="15"/>
    <x v="0"/>
    <x v="0"/>
    <n v="26059"/>
    <s v="eclairage "/>
    <s v="des lampes "/>
    <x v="0"/>
    <s v="réparation d'eclairage et changement des lampes "/>
    <n v="177413"/>
    <n v="120"/>
    <n v="120"/>
    <x v="483"/>
    <m/>
    <m/>
    <x v="0"/>
    <x v="0"/>
  </r>
  <r>
    <d v="2022-02-19T00:00:00"/>
    <x v="3"/>
    <x v="1"/>
    <x v="3"/>
    <x v="3"/>
    <n v="26060"/>
    <s v="alternateur de charge battrie "/>
    <s v="courroie"/>
    <x v="0"/>
    <s v="changement du courroie d'alternateur de charge battrie _x000a_camion panne a rabat"/>
    <n v="177420"/>
    <n v="570"/>
    <n v="570"/>
    <x v="484"/>
    <m/>
    <m/>
    <x v="0"/>
    <x v="0"/>
  </r>
  <r>
    <d v="2022-02-20T00:00:00"/>
    <x v="13"/>
    <x v="1"/>
    <x v="5"/>
    <x v="13"/>
    <n v="26068"/>
    <s v="moteur thermique"/>
    <s v="temperature d'huile moteur "/>
    <x v="0"/>
    <s v="réparation du probleme de temperatre de moteur thermique et changement des chemise avec joint _x000a_débouchage du radiateur _x000a_cangemnt du thermostat de refroidissement _x000a_changement des souppe et siege soupape et guide soupape _x000a_contrôle du culasse _x000a_vidange d'huile moteur et changement du filtre a huil et filtre a gasoil _x000a_changemnt u jeu de balai d'esuie glace _x000a_472000 km"/>
    <s v="177466_x000a_177408_x000a_177448_x000a_177664_x000a_177682_x000a_177689_x000a_177693_x000a_177301_x000a_177305_x000a_178308"/>
    <n v="5700"/>
    <n v="11455"/>
    <x v="485"/>
    <m/>
    <m/>
    <x v="0"/>
    <x v="0"/>
  </r>
  <r>
    <d v="2022-02-21T00:00:00"/>
    <x v="28"/>
    <x v="2"/>
    <x v="13"/>
    <x v="2"/>
    <n v="26061"/>
    <s v="entretien"/>
    <s v="vidange"/>
    <x v="0"/>
    <s v="vidange d'huile moteur 15W40_x000a_lavage et graissage generale d'engin _x000a_26927 h "/>
    <n v="177426"/>
    <n v="120"/>
    <n v="120"/>
    <x v="486"/>
    <m/>
    <m/>
    <x v="0"/>
    <x v="0"/>
  </r>
  <r>
    <d v="2022-02-21T00:00:00"/>
    <x v="12"/>
    <x v="3"/>
    <x v="3"/>
    <x v="12"/>
    <n v="26062"/>
    <s v="entretien"/>
    <s v="vidange"/>
    <x v="0"/>
    <s v="vidange d'huile moteur 15W40_x000a_lavage et graissage generale d'engin _x000a_362352 km _x000a_réparation d'eclairage "/>
    <s v="177424_x000a_177425"/>
    <n v="360"/>
    <n v="360"/>
    <x v="487"/>
    <m/>
    <m/>
    <x v="0"/>
    <x v="0"/>
  </r>
  <r>
    <d v="2022-02-21T00:00:00"/>
    <x v="18"/>
    <x v="1"/>
    <x v="5"/>
    <x v="16"/>
    <n v="26065"/>
    <s v="grue de levage "/>
    <s v="des fuites d'huile"/>
    <x v="2"/>
    <s v="réparation du probleme de levage du grue _x000a_déplacement du camion a sté (wafa hydraulique )_x000a_changement du pompe hydraulique et distributeur de levage du grue _x000a_réparation des fuiutes et changement des flexible hydraulique _x000a_"/>
    <s v="177661_x000a_177443_x000a_177442_x000a_177661"/>
    <n v="3420"/>
    <n v="3450"/>
    <x v="488"/>
    <m/>
    <m/>
    <x v="0"/>
    <x v="0"/>
  </r>
  <r>
    <d v="2022-02-21T00:00:00"/>
    <x v="7"/>
    <x v="1"/>
    <x v="5"/>
    <x v="7"/>
    <n v="26066"/>
    <s v="Entretien"/>
    <s v="vidange"/>
    <x v="0"/>
    <s v="vidange d'huile moteur et lavage grauissage genarale d'engin _x000a_589600 km"/>
    <n v="177435"/>
    <n v="120"/>
    <n v="120"/>
    <x v="489"/>
    <m/>
    <m/>
    <x v="0"/>
    <x v="0"/>
  </r>
  <r>
    <d v="2022-02-22T00:00:00"/>
    <x v="9"/>
    <x v="5"/>
    <x v="7"/>
    <x v="9"/>
    <n v="26145"/>
    <s v="courroie "/>
    <s v="vitre laterale "/>
    <x v="0"/>
    <s v="changement du vitre laterale endommage a cause d'un accident "/>
    <n v="177052"/>
    <n v="180"/>
    <n v="180"/>
    <x v="486"/>
    <m/>
    <m/>
    <x v="0"/>
    <x v="0"/>
  </r>
  <r>
    <d v="2022-02-22T00:00:00"/>
    <x v="29"/>
    <x v="2"/>
    <x v="16"/>
    <x v="2"/>
    <n v="26063"/>
    <s v="culasse "/>
    <s v="joint culasse "/>
    <x v="0"/>
    <s v="changement du joint cuasse et reoudage des soupape _x000a_changement du pochette roudage et réparation et débouchage du radiatur _x000a_vidnge d'huile moteur _x000a_24120 h"/>
    <s v="177426_x000a_177430_x000a_177440_x000a_177671_x000a_177676"/>
    <n v="5700"/>
    <n v="5700"/>
    <x v="490"/>
    <m/>
    <m/>
    <x v="0"/>
    <x v="0"/>
  </r>
  <r>
    <d v="2022-02-22T00:00:00"/>
    <x v="4"/>
    <x v="1"/>
    <x v="3"/>
    <x v="4"/>
    <n v="26064"/>
    <s v="suspension"/>
    <s v="amortisseur "/>
    <x v="0"/>
    <s v="changement du deux amortisseur endommagé "/>
    <n v="177431"/>
    <n v="180"/>
    <n v="180"/>
    <x v="486"/>
    <m/>
    <m/>
    <x v="0"/>
    <x v="0"/>
  </r>
  <r>
    <d v="2022-02-28T00:00:00"/>
    <x v="20"/>
    <x v="1"/>
    <x v="6"/>
    <x v="17"/>
    <n v="26069"/>
    <s v="arrét moteur "/>
    <s v="solinoide d'arrét moteur "/>
    <x v="0"/>
    <s v="changement du solinoide d'arrét moteur "/>
    <n v="177449"/>
    <n v="180"/>
    <n v="180"/>
    <x v="470"/>
    <m/>
    <m/>
    <x v="0"/>
    <x v="0"/>
  </r>
  <r>
    <d v="2022-02-28T00:00:00"/>
    <x v="0"/>
    <x v="0"/>
    <x v="0"/>
    <x v="0"/>
    <n v="26070"/>
    <s v="moteur thermique"/>
    <s v="courroie"/>
    <x v="0"/>
    <s v="changement du jeu du courroie d'accessoires avec tondeur et jeu du courroie de distribution "/>
    <n v="177653"/>
    <n v="1140"/>
    <n v="1140"/>
    <x v="458"/>
    <m/>
    <m/>
    <x v="0"/>
    <x v="0"/>
  </r>
  <r>
    <d v="2022-03-01T00:00:00"/>
    <x v="3"/>
    <x v="1"/>
    <x v="3"/>
    <x v="3"/>
    <n v="26073"/>
    <s v="fuite d'air "/>
    <s v="durite d'air "/>
    <x v="0"/>
    <s v="changement  du durite d'ir de turbo compresseur "/>
    <s v="177658_x000a_177675"/>
    <n v="180"/>
    <n v="180"/>
    <x v="458"/>
    <m/>
    <m/>
    <x v="0"/>
    <x v="0"/>
  </r>
  <r>
    <d v="2022-03-01T00:00:00"/>
    <x v="14"/>
    <x v="6"/>
    <x v="9"/>
    <x v="2"/>
    <n v="26090"/>
    <s v="balayeuse "/>
    <s v="godet de balayage "/>
    <x v="0"/>
    <s v="confection  et soudage du godet de balayeuse "/>
    <n v="177660"/>
    <n v="11440"/>
    <n v="11440"/>
    <x v="491"/>
    <m/>
    <m/>
    <x v="0"/>
    <x v="0"/>
  </r>
  <r>
    <d v="2022-03-01T00:00:00"/>
    <x v="26"/>
    <x v="2"/>
    <x v="15"/>
    <x v="2"/>
    <m/>
    <m/>
    <m/>
    <x v="2"/>
    <s v="Achat convertisseur en cours"/>
    <m/>
    <m/>
    <n v="14820"/>
    <x v="492"/>
    <m/>
    <m/>
    <x v="0"/>
    <x v="0"/>
  </r>
  <r>
    <d v="2022-03-02T00:00:00"/>
    <x v="9"/>
    <x v="5"/>
    <x v="7"/>
    <x v="9"/>
    <n v="26074"/>
    <s v="carosserie "/>
    <s v="peinture "/>
    <x v="0"/>
    <s v="réparation du pare choc arriere a  cause d'un accident "/>
    <n v="177662"/>
    <n v="1140"/>
    <n v="1140"/>
    <x v="490"/>
    <m/>
    <m/>
    <x v="0"/>
    <x v="0"/>
  </r>
  <r>
    <d v="2022-03-02T00:00:00"/>
    <x v="11"/>
    <x v="3"/>
    <x v="3"/>
    <x v="11"/>
    <n v="26081"/>
    <s v="démarrage "/>
    <s v="battrie de démarrage "/>
    <x v="0"/>
    <s v="changement du deux battrie de démarrage 12V M8 VARTA_x000a_changement du jeu de balai d'esuie glace "/>
    <n v="177667"/>
    <n v="180"/>
    <n v="180"/>
    <x v="493"/>
    <m/>
    <m/>
    <x v="0"/>
    <x v="0"/>
  </r>
  <r>
    <d v="2022-03-03T00:00:00"/>
    <x v="8"/>
    <x v="3"/>
    <x v="6"/>
    <x v="8"/>
    <n v="26072"/>
    <s v="plateau"/>
    <s v="fixation roue"/>
    <x v="0"/>
    <s v="changement du deux moyeu de roue arriere plateau complet avec de roulllement et des arrét de graisse _x000a_réglage du jeu de garniture de frein _x000a_réparation d'eclairage "/>
    <s v="177683_x000a_177565_x000a_177674"/>
    <n v="1710"/>
    <n v="1710"/>
    <x v="490"/>
    <m/>
    <m/>
    <x v="0"/>
    <x v="0"/>
  </r>
  <r>
    <d v="2022-03-04T00:00:00"/>
    <x v="16"/>
    <x v="1"/>
    <x v="5"/>
    <x v="14"/>
    <n v="26080"/>
    <s v="transmission "/>
    <s v="support cardon "/>
    <x v="0"/>
    <s v="sortie hors sté pour depanage du camion et changé leur support cardon "/>
    <n v="177665"/>
    <n v="570"/>
    <n v="570"/>
    <x v="494"/>
    <m/>
    <m/>
    <x v="0"/>
    <x v="0"/>
  </r>
  <r>
    <d v="2022-03-04T00:00:00"/>
    <x v="16"/>
    <x v="1"/>
    <x v="5"/>
    <x v="14"/>
    <n v="26910"/>
    <s v="bruit anormale  "/>
    <s v="support cardon "/>
    <x v="0"/>
    <s v="changement du support cardon hors sté"/>
    <n v="178339"/>
    <n v="570"/>
    <n v="570"/>
    <x v="494"/>
    <m/>
    <m/>
    <x v="0"/>
    <x v="0"/>
  </r>
  <r>
    <d v="2022-03-05T00:00:00"/>
    <x v="20"/>
    <x v="1"/>
    <x v="6"/>
    <x v="17"/>
    <n v="26075"/>
    <s v="freinage "/>
    <s v="plaquette de frein "/>
    <x v="0"/>
    <s v="changemnt du jeu de plaquette de fein avant"/>
    <s v="177685_x000a_177316"/>
    <n v="570"/>
    <n v="570"/>
    <x v="495"/>
    <m/>
    <m/>
    <x v="0"/>
    <x v="0"/>
  </r>
  <r>
    <d v="2022-03-06T00:00:00"/>
    <x v="17"/>
    <x v="5"/>
    <x v="11"/>
    <x v="15"/>
    <n v="26076"/>
    <s v="embrayage "/>
    <s v="kit d'embrayage"/>
    <x v="0"/>
    <s v="changement du kit d'embrayage complet_x000a_ et changement des joint de collecteur d'echappement _x000a_"/>
    <s v="177681_x000a_177690_x000a_177694"/>
    <n v="1710"/>
    <n v="2280"/>
    <x v="479"/>
    <m/>
    <m/>
    <x v="0"/>
    <x v="0"/>
  </r>
  <r>
    <d v="2022-03-06T00:00:00"/>
    <x v="20"/>
    <x v="1"/>
    <x v="6"/>
    <x v="17"/>
    <n v="26087"/>
    <s v="garniture de frein "/>
    <s v="jeu du garniture "/>
    <x v="0"/>
    <s v="changment du jeu de garniture de frein arriére et jeu de plaquette de frein avant "/>
    <m/>
    <n v="1140"/>
    <n v="1140"/>
    <x v="463"/>
    <m/>
    <m/>
    <x v="0"/>
    <x v="0"/>
  </r>
  <r>
    <d v="2022-03-08T00:00:00"/>
    <x v="9"/>
    <x v="5"/>
    <x v="7"/>
    <x v="9"/>
    <n v="26082"/>
    <s v="Entretien"/>
    <s v="vidange"/>
    <x v="1"/>
    <s v="vidange d'huile moteur _x000a_lavage et graissag generale d'engin _x000a_125000km"/>
    <s v="177678_x000a_175064"/>
    <n v="120"/>
    <n v="120"/>
    <x v="496"/>
    <m/>
    <m/>
    <x v="0"/>
    <x v="0"/>
  </r>
  <r>
    <d v="2022-03-10T00:00:00"/>
    <x v="21"/>
    <x v="2"/>
    <x v="13"/>
    <x v="2"/>
    <n v="24693"/>
    <s v="moteur thermique"/>
    <s v="moteur endommage"/>
    <x v="0"/>
    <s v="réparation et mise a nouveau du moteur thermique et changement du plaque avant (aferaile du sté  avec vilebrequin ) _x000a_changement du jeu de segment et coussinet de bielle été vilebrequin _x000a_changement du pompe a huile moteur _x000a_des chemise de group moteur _x000a_vidange d'huile moteue et changement dufiltre a huile et gasoil _x000a_35421 H"/>
    <s v="171768_x000a_171762_x000a_171458_x000a_171752_x000a_171493_x000a_171485_x000a_171472_x000a_171470_x000a_171467"/>
    <n v="3990"/>
    <n v="5700"/>
    <x v="424"/>
    <m/>
    <m/>
    <x v="0"/>
    <x v="0"/>
  </r>
  <r>
    <d v="2022-03-12T00:00:00"/>
    <x v="10"/>
    <x v="1"/>
    <x v="8"/>
    <x v="10"/>
    <n v="26083"/>
    <s v="Entretien"/>
    <s v="vidange"/>
    <x v="1"/>
    <s v="vidange d'huile moteur _x000a_lavage et graissag generale d'engin _x000a_changement d jeu de balai d'essuie glace_x000a_762300km"/>
    <n v="178302"/>
    <n v="120"/>
    <n v="120"/>
    <x v="497"/>
    <m/>
    <m/>
    <x v="0"/>
    <x v="0"/>
  </r>
  <r>
    <d v="2022-03-14T00:00:00"/>
    <x v="12"/>
    <x v="3"/>
    <x v="3"/>
    <x v="12"/>
    <n v="26084"/>
    <s v="eclairage "/>
    <s v="des lampes "/>
    <x v="0"/>
    <s v="changement des lampes d'eclairage"/>
    <n v="178304"/>
    <n v="60"/>
    <n v="60"/>
    <x v="485"/>
    <m/>
    <m/>
    <x v="0"/>
    <x v="0"/>
  </r>
  <r>
    <d v="2022-03-15T00:00:00"/>
    <x v="0"/>
    <x v="0"/>
    <x v="0"/>
    <x v="0"/>
    <n v="26085"/>
    <s v="Entretien"/>
    <s v="vidange"/>
    <x v="1"/>
    <s v="vidange d'huile moteur _x000a_lavage et graissag generale d'engin _x000a_263000km"/>
    <n v="178310"/>
    <n v="60"/>
    <n v="60"/>
    <x v="498"/>
    <m/>
    <m/>
    <x v="0"/>
    <x v="0"/>
  </r>
  <r>
    <d v="2022-03-17T00:00:00"/>
    <x v="23"/>
    <x v="3"/>
    <x v="6"/>
    <x v="18"/>
    <n v="26078"/>
    <s v="fuite du gasoil "/>
    <s v="tuyau du gasoil "/>
    <x v="0"/>
    <s v="réparation du fuite de gasoil et changement du tuyau d'ijection gasoil et refrigerant d'huile moteur et deux porte de cabine _x000a_changement d'appareille d'air comprimé du plateau et dessiateur d'air _x000a_"/>
    <s v="177655_x000a_178333"/>
    <n v="3400"/>
    <n v="14250"/>
    <x v="463"/>
    <m/>
    <m/>
    <x v="0"/>
    <x v="0"/>
  </r>
  <r>
    <d v="2022-03-17T00:00:00"/>
    <x v="4"/>
    <x v="1"/>
    <x v="3"/>
    <x v="4"/>
    <n v="26901"/>
    <s v="pneu"/>
    <s v="usure "/>
    <x v="0"/>
    <s v="changement du deux pneu ref 3158/80R22,5"/>
    <n v="178317"/>
    <n v="120"/>
    <n v="120"/>
    <x v="499"/>
    <m/>
    <m/>
    <x v="0"/>
    <x v="0"/>
  </r>
  <r>
    <d v="2022-03-17T00:00:00"/>
    <x v="12"/>
    <x v="3"/>
    <x v="3"/>
    <x v="12"/>
    <n v="26902"/>
    <s v="fuite d'air"/>
    <s v="venteuse du cabine "/>
    <x v="0"/>
    <s v="changement du venteuse de cabine coté av g _x000a_et ressort de cabine avg et vanne de purge flacon d'air "/>
    <s v="178318_x000a_178323"/>
    <n v="1140"/>
    <n v="1140"/>
    <x v="500"/>
    <m/>
    <m/>
    <x v="0"/>
    <x v="0"/>
  </r>
  <r>
    <d v="2022-03-18T00:00:00"/>
    <x v="7"/>
    <x v="1"/>
    <x v="5"/>
    <x v="7"/>
    <n v="26903"/>
    <s v="fuite d'air "/>
    <s v="appareille d'air "/>
    <x v="0"/>
    <s v="Changement du pedale de frein et réparation du fuite d'air "/>
    <n v="178320"/>
    <n v="1140"/>
    <n v="1140"/>
    <x v="501"/>
    <m/>
    <m/>
    <x v="0"/>
    <x v="0"/>
  </r>
  <r>
    <d v="2022-03-18T00:00:00"/>
    <x v="17"/>
    <x v="5"/>
    <x v="11"/>
    <x v="15"/>
    <n v="26906"/>
    <s v="carosserie "/>
    <s v="porte arriere "/>
    <x v="0"/>
    <s v="réparation du serrure de porte arriére "/>
    <n v="178331"/>
    <n v="180"/>
    <n v="180"/>
    <x v="481"/>
    <m/>
    <m/>
    <x v="0"/>
    <x v="0"/>
  </r>
  <r>
    <d v="2022-03-18T00:00:00"/>
    <x v="38"/>
    <x v="0"/>
    <x v="25"/>
    <x v="25"/>
    <n v="26907"/>
    <s v="carosserie "/>
    <s v="leve glace "/>
    <x v="0"/>
    <s v="réparation du mécanisme de leve glace  (réparation a coreaa )"/>
    <n v="178332"/>
    <n v="240"/>
    <n v="240"/>
    <x v="481"/>
    <m/>
    <m/>
    <x v="0"/>
    <x v="0"/>
  </r>
  <r>
    <d v="2022-03-19T00:00:00"/>
    <x v="4"/>
    <x v="1"/>
    <x v="3"/>
    <x v="4"/>
    <n v="26908"/>
    <s v="Entretien"/>
    <s v="vidange"/>
    <x v="1"/>
    <s v="vidange d'huile moteur 15W40_x000a_réparation du fuite d'huiole hydraulique _x000a_graissag generale d'engin et souflage du fultre a air _x000a_271000 km"/>
    <n v="178337"/>
    <n v="570"/>
    <n v="570"/>
    <x v="500"/>
    <m/>
    <m/>
    <x v="0"/>
    <x v="0"/>
  </r>
  <r>
    <d v="2022-03-19T00:00:00"/>
    <x v="17"/>
    <x v="5"/>
    <x v="11"/>
    <x v="15"/>
    <n v="26909"/>
    <s v="embrayage "/>
    <s v="disque d'embrayage "/>
    <x v="0"/>
    <s v="changement du kit d'embrayage complet _x000a_disque et butéé et plateau de serrage_x000a_vidange d'huile moteur et changement du filtre a huile et filtre a gasoil _x000a_174500 km"/>
    <n v="178338"/>
    <n v="1140"/>
    <n v="1140"/>
    <x v="502"/>
    <m/>
    <m/>
    <x v="0"/>
    <x v="0"/>
  </r>
  <r>
    <d v="2022-03-20T00:00:00"/>
    <x v="42"/>
    <x v="2"/>
    <x v="28"/>
    <x v="28"/>
    <n v="26086"/>
    <s v="marche avant arriere"/>
    <s v="pont avant "/>
    <x v="0"/>
    <s v="changement du pont avant edomagé ( achat du laferaille ) achat et montage extr"/>
    <s v="178314_x000a_178315"/>
    <n v="1002"/>
    <n v="1002"/>
    <x v="463"/>
    <m/>
    <m/>
    <x v="0"/>
    <x v="0"/>
  </r>
  <r>
    <d v="2022-03-21T00:00:00"/>
    <x v="5"/>
    <x v="3"/>
    <x v="3"/>
    <x v="5"/>
    <n v="26911"/>
    <s v="fuite d'air "/>
    <s v="flexible d'air "/>
    <x v="0"/>
    <s v="changement du flexible d'air comprimé"/>
    <n v="178344"/>
    <n v="570"/>
    <n v="570"/>
    <x v="501"/>
    <m/>
    <m/>
    <x v="0"/>
    <x v="0"/>
  </r>
  <r>
    <d v="2022-03-21T00:00:00"/>
    <x v="23"/>
    <x v="3"/>
    <x v="6"/>
    <x v="18"/>
    <n v="26912"/>
    <s v="balai d'essuie glace "/>
    <s v="usure "/>
    <x v="0"/>
    <s v="changement du jeu des balai d'esuie glace _x000a_changement du klaxon 24 v"/>
    <n v="178345"/>
    <n v="120"/>
    <n v="120"/>
    <x v="501"/>
    <m/>
    <m/>
    <x v="0"/>
    <x v="0"/>
  </r>
  <r>
    <d v="2022-03-21T00:00:00"/>
    <x v="20"/>
    <x v="1"/>
    <x v="6"/>
    <x v="17"/>
    <n v="26913"/>
    <s v="freinage "/>
    <s v="garniture de frein"/>
    <x v="0"/>
    <s v="changeent du jeu du plaquette de frein avant _x000a_et jeu de garniture de frein arréire "/>
    <n v="178346"/>
    <n v="1710"/>
    <n v="1710"/>
    <x v="503"/>
    <m/>
    <m/>
    <x v="0"/>
    <x v="0"/>
  </r>
  <r>
    <d v="2022-03-21T00:00:00"/>
    <x v="13"/>
    <x v="1"/>
    <x v="5"/>
    <x v="13"/>
    <n v="26914"/>
    <s v="fuite d'eau "/>
    <s v="durite d'eau"/>
    <x v="0"/>
    <s v="réparation du fuite d'air et changement du durite d'eau "/>
    <n v="178347"/>
    <n v="120"/>
    <n v="120"/>
    <x v="501"/>
    <m/>
    <m/>
    <x v="0"/>
    <x v="0"/>
  </r>
  <r>
    <d v="2022-03-22T00:00:00"/>
    <x v="9"/>
    <x v="5"/>
    <x v="7"/>
    <x v="9"/>
    <n v="26915"/>
    <s v="pneu "/>
    <s v="usure "/>
    <x v="0"/>
    <s v="changement du deux pneu ref 205/70R17,5_x000a_128020 km"/>
    <n v="178350"/>
    <n v="120"/>
    <n v="120"/>
    <x v="502"/>
    <m/>
    <m/>
    <x v="0"/>
    <x v="0"/>
  </r>
  <r>
    <d v="2022-03-24T00:00:00"/>
    <x v="10"/>
    <x v="1"/>
    <x v="8"/>
    <x v="10"/>
    <n v="26916"/>
    <s v="pneu "/>
    <s v="usure "/>
    <x v="0"/>
    <s v="changemlent du deux pneu ref 11R22,5_x000a_765760 km"/>
    <n v="179606"/>
    <n v="120"/>
    <n v="120"/>
    <x v="504"/>
    <m/>
    <m/>
    <x v="0"/>
    <x v="0"/>
  </r>
  <r>
    <d v="2022-03-24T00:00:00"/>
    <x v="23"/>
    <x v="3"/>
    <x v="6"/>
    <x v="18"/>
    <n v="26917"/>
    <s v="entretien"/>
    <s v="vidange"/>
    <x v="0"/>
    <s v="vidange d'huile moteur et changement du filtre a huile et filttre a gasoil _x000a_et prefiltre a gasoil 513600 km"/>
    <n v="179607"/>
    <n v="120"/>
    <n v="120"/>
    <x v="504"/>
    <m/>
    <m/>
    <x v="0"/>
    <x v="0"/>
  </r>
  <r>
    <d v="2022-03-24T00:00:00"/>
    <x v="5"/>
    <x v="3"/>
    <x v="3"/>
    <x v="5"/>
    <n v="26918"/>
    <s v="eclairage "/>
    <s v="des lampes "/>
    <x v="0"/>
    <s v="réparation d'eclairage et changement des lampes "/>
    <n v="179608"/>
    <n v="240"/>
    <n v="240"/>
    <x v="504"/>
    <m/>
    <m/>
    <x v="0"/>
    <x v="0"/>
  </r>
  <r>
    <d v="2022-03-24T00:00:00"/>
    <x v="2"/>
    <x v="2"/>
    <x v="2"/>
    <x v="2"/>
    <n v="26919"/>
    <s v="entretien"/>
    <s v="vidange"/>
    <x v="0"/>
    <s v="vidange d'huile moteur et changement du filtre a huile et filtre a gasoil 3150h"/>
    <n v="179610"/>
    <n v="120"/>
    <n v="120"/>
    <x v="504"/>
    <m/>
    <m/>
    <x v="0"/>
    <x v="0"/>
  </r>
  <r>
    <d v="2022-03-25T00:00:00"/>
    <x v="23"/>
    <x v="3"/>
    <x v="6"/>
    <x v="18"/>
    <n v="26920"/>
    <s v="carosserie "/>
    <s v="limitation de vitesse "/>
    <x v="0"/>
    <s v="réparation d'eclairage et changement du plaque de limiotation vitesse _x000a_"/>
    <n v="179612"/>
    <n v="180"/>
    <n v="180"/>
    <x v="505"/>
    <m/>
    <m/>
    <x v="0"/>
    <x v="0"/>
  </r>
  <r>
    <d v="2022-03-26T00:00:00"/>
    <x v="3"/>
    <x v="1"/>
    <x v="3"/>
    <x v="3"/>
    <n v="26923"/>
    <s v="eclairage "/>
    <s v="des lampes "/>
    <x v="0"/>
    <s v="réparation d'eclairage et changement des lampes "/>
    <n v="179620"/>
    <n v="180"/>
    <n v="180"/>
    <x v="506"/>
    <m/>
    <m/>
    <x v="0"/>
    <x v="0"/>
  </r>
  <r>
    <d v="2022-03-28T00:00:00"/>
    <x v="1"/>
    <x v="1"/>
    <x v="1"/>
    <x v="1"/>
    <n v="26922"/>
    <s v="charge du battrie "/>
    <s v="alternateur de charge battrie "/>
    <x v="0"/>
    <s v="changement d'alternateur de charge battriie achat neuf "/>
    <n v="179622"/>
    <n v="180"/>
    <n v="180"/>
    <x v="507"/>
    <m/>
    <m/>
    <x v="0"/>
    <x v="0"/>
  </r>
  <r>
    <d v="2022-03-28T00:00:00"/>
    <x v="23"/>
    <x v="3"/>
    <x v="6"/>
    <x v="18"/>
    <n v="26924"/>
    <s v="eclairage "/>
    <s v="des lampes "/>
    <x v="0"/>
    <s v="réparation d'eclairage et changement du feu rouge arriere  cabouchon "/>
    <n v="179625"/>
    <n v="180"/>
    <n v="180"/>
    <x v="507"/>
    <m/>
    <m/>
    <x v="0"/>
    <x v="0"/>
  </r>
  <r>
    <d v="2022-03-28T00:00:00"/>
    <x v="1"/>
    <x v="1"/>
    <x v="1"/>
    <x v="1"/>
    <n v="26925"/>
    <s v="démarrage "/>
    <s v="relais démarreur "/>
    <x v="0"/>
    <s v="changemet du relai contact de démarreur "/>
    <n v="179624"/>
    <n v="360"/>
    <n v="360"/>
    <x v="507"/>
    <m/>
    <m/>
    <x v="0"/>
    <x v="0"/>
  </r>
  <r>
    <d v="2022-03-28T00:00:00"/>
    <x v="16"/>
    <x v="1"/>
    <x v="5"/>
    <x v="14"/>
    <n v="26926"/>
    <s v="eclairage "/>
    <s v="des lampes "/>
    <x v="0"/>
    <s v="réparation d'eclairage et changement des lampes "/>
    <n v="179627"/>
    <n v="120"/>
    <n v="120"/>
    <x v="507"/>
    <m/>
    <m/>
    <x v="0"/>
    <x v="0"/>
  </r>
  <r>
    <d v="2022-04-01T00:00:00"/>
    <x v="26"/>
    <x v="2"/>
    <x v="15"/>
    <x v="2"/>
    <m/>
    <m/>
    <m/>
    <x v="2"/>
    <s v="Achat convertisseur en cours"/>
    <m/>
    <m/>
    <n v="14820"/>
    <x v="508"/>
    <m/>
    <m/>
    <x v="0"/>
    <x v="0"/>
  </r>
  <r>
    <d v="2022-04-02T00:00:00"/>
    <x v="28"/>
    <x v="2"/>
    <x v="13"/>
    <x v="2"/>
    <n v="26927"/>
    <s v="fuite d'eahuile "/>
    <s v="flexyble percé"/>
    <x v="0"/>
    <s v="changement du flexible d'huile hydraulique"/>
    <n v="179642"/>
    <n v="570"/>
    <n v="570"/>
    <x v="509"/>
    <m/>
    <m/>
    <x v="0"/>
    <x v="0"/>
  </r>
  <r>
    <d v="2022-04-04T00:00:00"/>
    <x v="21"/>
    <x v="2"/>
    <x v="13"/>
    <x v="2"/>
    <n v="26929"/>
    <s v="démarrage "/>
    <s v="battrie de démarrage "/>
    <x v="0"/>
    <s v="changement du battrie de démarrage 12V l5"/>
    <n v="180653"/>
    <n v="120"/>
    <n v="120"/>
    <x v="510"/>
    <m/>
    <m/>
    <x v="0"/>
    <x v="0"/>
  </r>
  <r>
    <d v="2022-04-04T00:00:00"/>
    <x v="23"/>
    <x v="3"/>
    <x v="6"/>
    <x v="18"/>
    <n v="26930"/>
    <s v="carosserie "/>
    <s v="porte du cabine"/>
    <x v="0"/>
    <s v="peinture du deux porte du cabine "/>
    <n v="180854"/>
    <n v="3420"/>
    <n v="3420"/>
    <x v="511"/>
    <m/>
    <m/>
    <x v="0"/>
    <x v="0"/>
  </r>
  <r>
    <d v="2022-04-04T00:00:00"/>
    <x v="27"/>
    <x v="0"/>
    <x v="0"/>
    <x v="21"/>
    <n v="26931"/>
    <s v="suspension"/>
    <s v="des amortisseurs"/>
    <x v="0"/>
    <s v="réparation des element du suspontion et changement des amortisseur et des tringle de suspention ,des bielle de suspention _x000a_des silent bloc _x000a_rotule de triangle _x000a_deux roulement de roue avant droit et gauche _x000a_changement du deux pneu tublesse 205/65r15_x000a_"/>
    <s v="180670_x000a_180655_x000a_180683_x000a_180940"/>
    <n v="1710"/>
    <n v="1710"/>
    <x v="512"/>
    <m/>
    <m/>
    <x v="0"/>
    <x v="0"/>
  </r>
  <r>
    <d v="2022-04-06T00:00:00"/>
    <x v="33"/>
    <x v="2"/>
    <x v="18"/>
    <x v="2"/>
    <n v="26932"/>
    <s v="Entretien"/>
    <s v="vidange"/>
    <x v="0"/>
    <s v="Vidange d'huile moteur et changement du fioltre a huile ref tf63_x000a_filtre a gasoil 17937_x000a_filtre a air r418_x000a_lavage et graissage genarale d'engin _x000a_4750 h"/>
    <n v="180663"/>
    <n v="360"/>
    <n v="360"/>
    <x v="513"/>
    <m/>
    <m/>
    <x v="0"/>
    <x v="0"/>
  </r>
  <r>
    <d v="2022-04-06T00:00:00"/>
    <x v="11"/>
    <x v="3"/>
    <x v="3"/>
    <x v="11"/>
    <n v="26933"/>
    <s v="Entretien"/>
    <s v="filtre a air "/>
    <x v="0"/>
    <s v="changement du filtre a air 21337557"/>
    <n v="180664"/>
    <n v="60"/>
    <n v="60"/>
    <x v="513"/>
    <m/>
    <m/>
    <x v="0"/>
    <x v="0"/>
  </r>
  <r>
    <d v="2022-04-07T00:00:00"/>
    <x v="32"/>
    <x v="2"/>
    <x v="2"/>
    <x v="2"/>
    <n v="26934"/>
    <s v="Entretien"/>
    <s v="vidange"/>
    <x v="1"/>
    <s v="Vidange d'huile moteur et changement du fioltre a huile ref tf63_x000a_filtre a gasoil 17937_x000a_filtre a air r418 et r178_x000a_lavage et graissage genarale d'engin _x000a_4977 h"/>
    <n v="180666"/>
    <n v="120"/>
    <n v="120"/>
    <x v="514"/>
    <m/>
    <m/>
    <x v="0"/>
    <x v="0"/>
  </r>
  <r>
    <d v="2022-04-12T00:00:00"/>
    <x v="21"/>
    <x v="2"/>
    <x v="13"/>
    <x v="2"/>
    <n v="26935"/>
    <s v="levage des fourche "/>
    <s v="galet de rampe"/>
    <x v="0"/>
    <s v="changement dix galet de rampe et jeu des bagues de démarreur _x000a_jeu des charbon _x000a_bendix de démarreur _x000a_des rotule du chariot de levage 45 mmm"/>
    <n v="180682"/>
    <n v="5700"/>
    <n v="5700"/>
    <x v="515"/>
    <m/>
    <m/>
    <x v="0"/>
    <x v="0"/>
  </r>
  <r>
    <d v="2022-04-12T00:00:00"/>
    <x v="10"/>
    <x v="1"/>
    <x v="8"/>
    <x v="10"/>
    <n v="26936"/>
    <s v="eclairage "/>
    <s v="des lampes "/>
    <x v="0"/>
    <s v="chanegement des lampes et des fusible a lame _x000a_changeement d'optique avandroit et deux feu de signale avant droit et avant gauche "/>
    <s v="180684_x000a_180931"/>
    <n v="360"/>
    <n v="360"/>
    <x v="516"/>
    <m/>
    <m/>
    <x v="0"/>
    <x v="0"/>
  </r>
  <r>
    <d v="2022-04-12T00:00:00"/>
    <x v="2"/>
    <x v="2"/>
    <x v="2"/>
    <x v="2"/>
    <n v="26937"/>
    <s v="démarrage "/>
    <s v="démarreur _x000a_"/>
    <x v="0"/>
    <s v="changementdes bagues de démarreur _x000a_jeu des charbon _x000a_bendix de démarreur _x000a_changement du battrie de démarrage 12Vf5_x000a_klaxon 12V_x000a_flexible double de verin laterale "/>
    <s v="180685_x000a_180903_x000a_180918"/>
    <n v="1140"/>
    <n v="1140"/>
    <x v="517"/>
    <m/>
    <m/>
    <x v="0"/>
    <x v="0"/>
  </r>
  <r>
    <d v="2022-04-16T00:00:00"/>
    <x v="11"/>
    <x v="3"/>
    <x v="3"/>
    <x v="11"/>
    <n v="26940"/>
    <s v="Entretien"/>
    <s v="vidange"/>
    <x v="0"/>
    <s v="vidange d'huile moteur 15W40_x000a_changement du _x000a_filtre a huile ref 2170713132_x000a_et filtre a gasoil  p21988765_x000a_frefiltre a gasoil p22988765_x000a_362719 km"/>
    <s v="180901_x000a_180910"/>
    <n v="180"/>
    <n v="180"/>
    <x v="517"/>
    <m/>
    <m/>
    <x v="0"/>
    <x v="0"/>
  </r>
  <r>
    <d v="2022-04-18T00:00:00"/>
    <x v="6"/>
    <x v="4"/>
    <x v="4"/>
    <x v="6"/>
    <n v="26942"/>
    <s v="Entretien"/>
    <s v="vidange"/>
    <x v="0"/>
    <s v="vidange d'huile moteur et changement du filtre a huile ref 263304a001_x000a_filtre a gasoil 319224h950_x000a_filtre a air 281134f000_x000a_84300 km"/>
    <n v="180909"/>
    <n v="120"/>
    <n v="120"/>
    <x v="518"/>
    <m/>
    <m/>
    <x v="0"/>
    <x v="0"/>
  </r>
  <r>
    <d v="2022-04-22T00:00:00"/>
    <x v="16"/>
    <x v="1"/>
    <x v="5"/>
    <x v="14"/>
    <n v="26943"/>
    <s v="démarrage "/>
    <s v="battrie de démarrage "/>
    <x v="0"/>
    <s v="changement du deux battrie de démarrage  12v l5"/>
    <n v="180925"/>
    <n v="60"/>
    <n v="60"/>
    <x v="519"/>
    <m/>
    <m/>
    <x v="0"/>
    <x v="0"/>
  </r>
  <r>
    <d v="2022-04-22T00:00:00"/>
    <x v="22"/>
    <x v="2"/>
    <x v="14"/>
    <x v="2"/>
    <n v="26947"/>
    <s v="PONT AVANT "/>
    <s v="des roulements"/>
    <x v="0"/>
    <s v="changement du deux roulement de pignon d'attacke et arrét d'huiile "/>
    <s v="181622_x000a_181606"/>
    <n v="5700"/>
    <n v="14800"/>
    <x v="520"/>
    <m/>
    <m/>
    <x v="0"/>
    <x v="0"/>
  </r>
  <r>
    <d v="2022-04-23T00:00:00"/>
    <x v="38"/>
    <x v="0"/>
    <x v="25"/>
    <x v="25"/>
    <n v="26939"/>
    <s v="démarage "/>
    <s v="battrie de démarrage "/>
    <x v="0"/>
    <s v="changement du battrie de démarage 12V70A L3"/>
    <n v="180689"/>
    <n v="120"/>
    <n v="120"/>
    <x v="521"/>
    <m/>
    <m/>
    <x v="0"/>
    <x v="0"/>
  </r>
  <r>
    <d v="2022-04-24T00:00:00"/>
    <x v="7"/>
    <x v="1"/>
    <x v="5"/>
    <x v="7"/>
    <n v="26941"/>
    <s v="feu du stop "/>
    <s v="manocontct"/>
    <x v="0"/>
    <s v="Changement du manocontact du feu de stop _x000a_vidange d'ehuile moteur et changement du _x000a_filtre a huile ref me034611 _x000a_filtre  gasoil ref me016841_x000a_filtre a air ref me073160_x000a_604700 km"/>
    <s v="180939_x000a_180908"/>
    <n v="180"/>
    <n v="180"/>
    <x v="522"/>
    <m/>
    <m/>
    <x v="0"/>
    <x v="0"/>
  </r>
  <r>
    <d v="2022-04-24T00:00:00"/>
    <x v="5"/>
    <x v="3"/>
    <x v="3"/>
    <x v="5"/>
    <n v="26946"/>
    <s v="pneu "/>
    <s v="usure"/>
    <x v="0"/>
    <s v="changement dubquatre pneu ref 124R22,5 xz_x000a_serie _x000a_SDB06502D_x000a_SDB05421D_x000a_SDB06543D_x000a_SDB06520D_x000a_791000 KM"/>
    <n v="180604"/>
    <n v="240"/>
    <n v="240"/>
    <x v="522"/>
    <m/>
    <m/>
    <x v="0"/>
    <x v="0"/>
  </r>
  <r>
    <d v="2022-04-26T00:00:00"/>
    <x v="12"/>
    <x v="3"/>
    <x v="3"/>
    <x v="12"/>
    <n v="26938"/>
    <s v="freinage "/>
    <s v="plaquette de fein"/>
    <x v="0"/>
    <s v="changement du deux jeu de plaquette de frein pour tracteur _x000a_et vdeux disque de frein pour essieu arriere tracteur _x000a_changement du quatre pneu ref 315/80R22,5_x000a_serie HHY0217E_x000a_HHY02080E_x000a_HHY02038E_x000a_HHY02177E"/>
    <s v="180904_x000a_180930_x000a_180945"/>
    <n v="1710"/>
    <n v="1710"/>
    <x v="523"/>
    <m/>
    <m/>
    <x v="0"/>
    <x v="0"/>
  </r>
  <r>
    <d v="2022-04-26T00:00:00"/>
    <x v="19"/>
    <x v="7"/>
    <x v="12"/>
    <x v="2"/>
    <n v="26944"/>
    <s v="démarrage "/>
    <s v="solinoide d'arrét moteur "/>
    <x v="0"/>
    <s v="changement du solinoide d'arrét moteur "/>
    <n v="180939"/>
    <n v="60"/>
    <n v="60"/>
    <x v="515"/>
    <m/>
    <m/>
    <x v="0"/>
    <x v="0"/>
  </r>
  <r>
    <d v="2022-04-27T00:00:00"/>
    <x v="4"/>
    <x v="1"/>
    <x v="3"/>
    <x v="4"/>
    <n v="26945"/>
    <s v="charge du battrie "/>
    <s v="courroie"/>
    <x v="0"/>
    <s v="changement du courroie d'alternateur de charge battrie et tondeur du courroie a cause d'emdomagement du moto clim _x000a_changement du moto clim et remmplissage du gaz de clim _x000a_"/>
    <s v="180605_x000a_1800946"/>
    <n v="1710"/>
    <n v="1710"/>
    <x v="524"/>
    <m/>
    <m/>
    <x v="0"/>
    <x v="0"/>
  </r>
  <r>
    <d v="2022-04-30T00:00:00"/>
    <x v="8"/>
    <x v="3"/>
    <x v="6"/>
    <x v="8"/>
    <n v="26948"/>
    <s v="Entretien"/>
    <s v="vidange"/>
    <x v="0"/>
    <s v="vidange d'huile moteur et changemen_x000a_du filtre a huile ref _x000a_filtre a gasoil ref 81125030086_x000a_filtre a air ref 81084050021_x000a_graissage genrale d'engin _x000a_793500 km"/>
    <n v="181609"/>
    <n v="120"/>
    <n v="120"/>
    <x v="508"/>
    <m/>
    <m/>
    <x v="0"/>
    <x v="0"/>
  </r>
  <r>
    <d v="2022-05-01T00:00:00"/>
    <x v="26"/>
    <x v="2"/>
    <x v="15"/>
    <x v="2"/>
    <m/>
    <m/>
    <m/>
    <x v="2"/>
    <s v="Achat convertisseur en cours"/>
    <m/>
    <m/>
    <n v="14820"/>
    <x v="525"/>
    <m/>
    <m/>
    <x v="0"/>
    <x v="0"/>
  </r>
  <r>
    <d v="2022-05-02T00:00:00"/>
    <x v="14"/>
    <x v="6"/>
    <x v="9"/>
    <x v="2"/>
    <n v="26928"/>
    <s v="brosse du balayage "/>
    <s v="usure du godet "/>
    <x v="0"/>
    <s v="renouvation du godet du brosse de balayage _x000a_changement du tole du godet et elimination des fuites "/>
    <s v="179647_x000a_181192_x000a_181168"/>
    <n v="11400"/>
    <n v="11400"/>
    <x v="526"/>
    <m/>
    <m/>
    <x v="0"/>
    <x v="0"/>
  </r>
  <r>
    <d v="2022-05-05T00:00:00"/>
    <x v="29"/>
    <x v="2"/>
    <x v="16"/>
    <x v="2"/>
    <n v="26949"/>
    <s v="refroidissement"/>
    <s v="courroie"/>
    <x v="0"/>
    <s v="changement du courroie de refroiodissement moteur 13*1400"/>
    <n v="181162"/>
    <n v="180"/>
    <n v="180"/>
    <x v="527"/>
    <m/>
    <m/>
    <x v="0"/>
    <x v="0"/>
  </r>
  <r>
    <d v="2022-05-05T00:00:00"/>
    <x v="0"/>
    <x v="0"/>
    <x v="0"/>
    <x v="0"/>
    <n v="26950"/>
    <s v="Entretien"/>
    <s v="vidange"/>
    <x v="1"/>
    <s v="vidange d'huile moteur et changeent du filtre a huile ref elh4332_x000a_filtre a gasoil ref c446_x000a_filtre a air a1097_x000a_264800 km"/>
    <n v="181614"/>
    <n v="120"/>
    <n v="120"/>
    <x v="527"/>
    <m/>
    <m/>
    <x v="0"/>
    <x v="0"/>
  </r>
  <r>
    <d v="2022-05-10T00:00:00"/>
    <x v="7"/>
    <x v="1"/>
    <x v="5"/>
    <x v="7"/>
    <n v="26751"/>
    <s v="Entretien"/>
    <s v="vidange"/>
    <x v="0"/>
    <s v="Changement du manocontact du feu de stop _x000a_vidange d'ehuile moteur et changement du _x000a_filtre a huile ref me034611 _x000a_filtre  gasoil ref me016841_x000a_filtre a air ref me073160_x000a_ 713600km"/>
    <n v="181629"/>
    <n v="120"/>
    <n v="120"/>
    <x v="526"/>
    <m/>
    <m/>
    <x v="0"/>
    <x v="0"/>
  </r>
  <r>
    <d v="2022-05-13T00:00:00"/>
    <x v="15"/>
    <x v="2"/>
    <x v="10"/>
    <x v="2"/>
    <n v="26755"/>
    <s v="essieu arriere "/>
    <s v="des rotule "/>
    <x v="0"/>
    <s v="réparation d'essieu arriere et changement des rotule de direction et des kit réparation axe pivot et axe fusee _x000a_chagement du joint culasse et réctification du culasse _x000a_changement du vase d'expansion "/>
    <n v="181862"/>
    <n v="2850"/>
    <n v="7410"/>
    <x v="528"/>
    <m/>
    <m/>
    <x v="0"/>
    <x v="0"/>
  </r>
  <r>
    <d v="2022-05-14T00:00:00"/>
    <x v="15"/>
    <x v="2"/>
    <x v="10"/>
    <x v="2"/>
    <n v="26766"/>
    <s v="refroidissement"/>
    <s v="pompe a eau"/>
    <x v="0"/>
    <s v="changement du pompe a eau _x000a_et changement du pochette roudage joitn culasse et réparation d'essieu arriere"/>
    <s v="182182_x000a_182194"/>
    <n v="2280"/>
    <n v="8550"/>
    <x v="529"/>
    <m/>
    <m/>
    <x v="0"/>
    <x v="0"/>
  </r>
  <r>
    <d v="2022-05-15T00:00:00"/>
    <x v="23"/>
    <x v="3"/>
    <x v="6"/>
    <x v="18"/>
    <n v="26752"/>
    <s v="refroidissement"/>
    <s v="coupleur du ventilateur "/>
    <x v="0"/>
    <s v="rééparation du probleme de refroidissement moteur et changement du coupleur de ventilateur et tondeur du courroie "/>
    <n v="181641"/>
    <n v="2280"/>
    <n v="2850"/>
    <x v="530"/>
    <m/>
    <m/>
    <x v="0"/>
    <x v="0"/>
  </r>
  <r>
    <d v="2022-05-16T00:00:00"/>
    <x v="23"/>
    <x v="3"/>
    <x v="6"/>
    <x v="18"/>
    <n v="26754"/>
    <s v="démarrage du moteur "/>
    <s v="circuit du gasoil "/>
    <x v="0"/>
    <s v="réparation du probleme d'injection gasoil _x000a_netoyage du reservoir de gasoil _x000a_changement du filtre a gasoil et prefiltre gasoil _x000a_changement du support du prefiltre a gasoil _x000a_"/>
    <s v="181851_x000a_181853_x000a_181888"/>
    <n v="3420"/>
    <n v="3420"/>
    <x v="525"/>
    <m/>
    <m/>
    <x v="0"/>
    <x v="0"/>
  </r>
  <r>
    <d v="2022-05-18T00:00:00"/>
    <x v="24"/>
    <x v="0"/>
    <x v="0"/>
    <x v="19"/>
    <n v="26753"/>
    <s v="distribution moteur "/>
    <s v="usure des couroies "/>
    <x v="0"/>
    <s v="changement du jeu de courroie d'aaccessoires et jeu du courroie de distribution moteur avec todeur _x000a_vidange d'huile moteur et changeent du filtre a huile ref 1109ay _x000a_filtre a gasoil ref 98072160_x000a_filtre a air ref 1444tv_x000a_240100 km"/>
    <n v="181642"/>
    <n v="1140"/>
    <n v="1170"/>
    <x v="531"/>
    <m/>
    <m/>
    <x v="0"/>
    <x v="0"/>
  </r>
  <r>
    <d v="2022-05-20T00:00:00"/>
    <x v="20"/>
    <x v="1"/>
    <x v="6"/>
    <x v="17"/>
    <n v="26761"/>
    <s v="arrét du moteur"/>
    <s v="pompe a gasoil"/>
    <x v="0"/>
    <s v="réparation du pompe a gasoil a sté casadiesel _x000a_changement du filtre a gasoil et changement_x000a_du pompe d'ebrayage superieur"/>
    <s v="181167_x000a_181184_x000a_181152"/>
    <n v="2840"/>
    <n v="2840"/>
    <x v="525"/>
    <m/>
    <m/>
    <x v="0"/>
    <x v="0"/>
  </r>
  <r>
    <d v="2022-05-20T00:00:00"/>
    <x v="18"/>
    <x v="1"/>
    <x v="5"/>
    <x v="16"/>
    <n v="26763"/>
    <s v="refroidissement"/>
    <s v="radiateur "/>
    <x v="0"/>
    <s v="réparation du pompe de grue de levage a sté wafa benne _x000a_réparation du radiateur "/>
    <s v="182193_x000a_182173"/>
    <n v="1710"/>
    <n v="3420"/>
    <x v="532"/>
    <m/>
    <m/>
    <x v="0"/>
    <x v="0"/>
  </r>
  <r>
    <d v="2022-05-21T00:00:00"/>
    <x v="26"/>
    <x v="2"/>
    <x v="15"/>
    <x v="2"/>
    <n v="26779"/>
    <s v="boite de vitesse "/>
    <s v="bv endommagé"/>
    <x v="0"/>
    <s v="changement du boite a vitesse (achat bon occasion)"/>
    <s v="182364_x000a_182395"/>
    <n v="14820"/>
    <n v="14820"/>
    <x v="533"/>
    <m/>
    <m/>
    <x v="0"/>
    <x v="0"/>
  </r>
  <r>
    <d v="2022-05-23T00:00:00"/>
    <x v="11"/>
    <x v="3"/>
    <x v="3"/>
    <x v="11"/>
    <n v="26757"/>
    <s v="freinage "/>
    <s v="plaquette de frein "/>
    <x v="0"/>
    <s v="changement du deux jeu de plaquette de frein pour tracteur _x000a_changement du deux jeu de garniture de frein pour plateau graissage des moyeu de roue arriere _x000a_graissage generale d'engin "/>
    <s v="181876_x000a_181872_x000a_181871_x000a_181864"/>
    <n v="1710"/>
    <n v="1710"/>
    <x v="524"/>
    <m/>
    <m/>
    <x v="0"/>
    <x v="0"/>
  </r>
  <r>
    <d v="2022-05-24T00:00:00"/>
    <x v="1"/>
    <x v="1"/>
    <x v="1"/>
    <x v="1"/>
    <n v="26762"/>
    <s v="roue arriere"/>
    <s v="fixation roue"/>
    <x v="0"/>
    <s v="changement du jeu ddes goujon de roue arriere droit "/>
    <n v="182172"/>
    <n v="240"/>
    <n v="240"/>
    <x v="532"/>
    <m/>
    <m/>
    <x v="0"/>
    <x v="0"/>
  </r>
  <r>
    <d v="2022-05-26T00:00:00"/>
    <x v="2"/>
    <x v="2"/>
    <x v="2"/>
    <x v="2"/>
    <n v="26758"/>
    <s v="démarage "/>
    <s v="contact de démarrage "/>
    <x v="0"/>
    <s v="chngemnt du cointact de démarage "/>
    <n v="181880"/>
    <n v="180"/>
    <n v="180"/>
    <x v="528"/>
    <m/>
    <m/>
    <x v="0"/>
    <x v="0"/>
  </r>
  <r>
    <d v="2022-05-26T00:00:00"/>
    <x v="9"/>
    <x v="5"/>
    <x v="7"/>
    <x v="9"/>
    <n v="26759"/>
    <s v="freinage "/>
    <s v="garniture de frein "/>
    <x v="0"/>
    <s v="changement du deux jeu de garniture de frein _x000a_alesage des tambour de frein _x000a_jeu de machoir de frein _x000a_kit de cylindre de frein arriere _x000a_vidange d'huile moteur et changement  du filtre a huile2631145010_x000a_ et filtre a gasoil ref 3194544002_x000a_134700 km"/>
    <s v="182151_x000a_182153_x000a_182156_x000a_181883_x000a_181881"/>
    <n v="1710"/>
    <n v="1710"/>
    <x v="534"/>
    <m/>
    <m/>
    <x v="0"/>
    <x v="0"/>
  </r>
  <r>
    <d v="2022-05-26T00:00:00"/>
    <x v="22"/>
    <x v="2"/>
    <x v="14"/>
    <x v="2"/>
    <m/>
    <m/>
    <s v="-"/>
    <x v="2"/>
    <m/>
    <m/>
    <m/>
    <n v="3420"/>
    <x v="525"/>
    <m/>
    <m/>
    <x v="0"/>
    <x v="0"/>
  </r>
  <r>
    <d v="2022-05-28T00:00:00"/>
    <x v="32"/>
    <x v="2"/>
    <x v="2"/>
    <x v="2"/>
    <n v="26760"/>
    <s v="démarrage "/>
    <s v="battrie de démarrage "/>
    <x v="0"/>
    <s v="changement du battrie de démarrage 12Vf5"/>
    <n v="181889"/>
    <n v="30"/>
    <n v="30"/>
    <x v="535"/>
    <m/>
    <m/>
    <x v="0"/>
    <x v="0"/>
  </r>
  <r>
    <d v="2022-06-01T00:00:00"/>
    <x v="25"/>
    <x v="1"/>
    <x v="1"/>
    <x v="20"/>
    <n v="26786"/>
    <s v="freinage "/>
    <s v="des garniture de frein "/>
    <x v="0"/>
    <s v="changement du jeu de garniture de frein _x000a_changement des ikit réparation master de frein _x000a_des arrét de graisse _x000a_pompe de direction _x000a_goujone de roue arriere _x000a_boitier de direction "/>
    <n v="182160"/>
    <n v="14820"/>
    <n v="14820"/>
    <x v="536"/>
    <m/>
    <m/>
    <x v="0"/>
    <x v="0"/>
  </r>
  <r>
    <d v="2022-06-03T00:00:00"/>
    <x v="7"/>
    <x v="1"/>
    <x v="5"/>
    <x v="7"/>
    <n v="26764"/>
    <s v="refroidissement"/>
    <s v="courroie "/>
    <x v="0"/>
    <s v="sortie hors sté pour réparation du probleme de refroidissement du moteurt  et _x000a_changement du courroie d'alternateurde charge_x000a_et pompe a eau"/>
    <n v="182175"/>
    <n v="570"/>
    <n v="570"/>
    <x v="537"/>
    <m/>
    <m/>
    <x v="0"/>
    <x v="0"/>
  </r>
  <r>
    <d v="2022-06-04T00:00:00"/>
    <x v="28"/>
    <x v="2"/>
    <x v="13"/>
    <x v="2"/>
    <n v="26765"/>
    <s v="pneu "/>
    <s v="usure "/>
    <x v="0"/>
    <s v="changement du deux pneu usee arriere ref 23*9/10"/>
    <n v="182181"/>
    <n v="1140"/>
    <n v="1140"/>
    <x v="538"/>
    <m/>
    <m/>
    <x v="0"/>
    <x v="0"/>
  </r>
  <r>
    <d v="2022-06-05T00:00:00"/>
    <x v="43"/>
    <x v="2"/>
    <x v="29"/>
    <x v="28"/>
    <n v="26770"/>
    <s v="vitre avant "/>
    <s v="plexyglace"/>
    <x v="0"/>
    <s v="montage du vitre de plexyglace avant et arriere"/>
    <s v="182357_x000a_182180"/>
    <n v="1140"/>
    <n v="1140"/>
    <x v="526"/>
    <m/>
    <m/>
    <x v="0"/>
    <x v="0"/>
  </r>
  <r>
    <d v="2022-06-06T00:00:00"/>
    <x v="11"/>
    <x v="3"/>
    <x v="3"/>
    <x v="11"/>
    <n v="26769"/>
    <s v="des roulement"/>
    <s v="usure "/>
    <x v="0"/>
    <s v="changement du quatre roulement pour plateau et graissage generale des moyeu de roue"/>
    <n v="182356"/>
    <n v="1700"/>
    <n v="1700"/>
    <x v="539"/>
    <m/>
    <m/>
    <x v="0"/>
    <x v="0"/>
  </r>
  <r>
    <d v="2022-06-07T00:00:00"/>
    <x v="23"/>
    <x v="3"/>
    <x v="6"/>
    <x v="18"/>
    <n v="26768"/>
    <s v="démarrage "/>
    <s v="gasoil "/>
    <x v="0"/>
    <s v="changement du deux filtre a gasoil et netoyage du circuit de gasoil et netoyage generale du circuit avec reservoire de gasoil _x000a_"/>
    <s v="181361_x000a_182197"/>
    <n v="1710"/>
    <n v="1710"/>
    <x v="540"/>
    <m/>
    <m/>
    <x v="0"/>
    <x v="0"/>
  </r>
  <r>
    <d v="2022-06-07T00:00:00"/>
    <x v="38"/>
    <x v="0"/>
    <x v="25"/>
    <x v="25"/>
    <n v="26771"/>
    <s v="freinage "/>
    <s v="disque de frein "/>
    <x v="0"/>
    <s v="changement du deux disque de frein avant et deu jeu de garniture  de frein avant "/>
    <n v="182195"/>
    <n v="60"/>
    <n v="60"/>
    <x v="529"/>
    <m/>
    <m/>
    <x v="0"/>
    <x v="0"/>
  </r>
  <r>
    <d v="2022-06-10T00:00:00"/>
    <x v="2"/>
    <x v="2"/>
    <x v="2"/>
    <x v="2"/>
    <n v="26774"/>
    <s v="Entretien"/>
    <s v="mise a niveau"/>
    <x v="0"/>
    <s v="mise a niveau d'hhuile hydraulique AW68"/>
    <n v="182379"/>
    <n v="30"/>
    <n v="30"/>
    <x v="540"/>
    <m/>
    <m/>
    <x v="0"/>
    <x v="0"/>
  </r>
  <r>
    <d v="2022-06-13T00:00:00"/>
    <x v="44"/>
    <x v="2"/>
    <x v="29"/>
    <x v="28"/>
    <n v="26773"/>
    <s v="vitre avant "/>
    <s v="plexyglace"/>
    <x v="0"/>
    <s v="montage du vitre de plexyglace avant et arriere"/>
    <s v="182376_x000a_182378"/>
    <n v="1140"/>
    <n v="1140"/>
    <x v="541"/>
    <m/>
    <m/>
    <x v="0"/>
    <x v="0"/>
  </r>
  <r>
    <d v="2022-06-16T00:00:00"/>
    <x v="33"/>
    <x v="2"/>
    <x v="18"/>
    <x v="2"/>
    <n v="26775"/>
    <s v="moteur thermique"/>
    <s v="probleme de démarage"/>
    <x v="2"/>
    <s v="²en cour"/>
    <m/>
    <m/>
    <s v=""/>
    <x v="57"/>
    <m/>
    <m/>
    <x v="0"/>
    <x v="0"/>
  </r>
  <r>
    <d v="2022-06-16T00:00:00"/>
    <x v="6"/>
    <x v="4"/>
    <x v="4"/>
    <x v="6"/>
    <n v="26776"/>
    <s v="freinage "/>
    <s v="plaquette de frein "/>
    <x v="0"/>
    <s v="changement du jeu de plaquette de frein avant "/>
    <n v="182387"/>
    <n v="180"/>
    <n v="180"/>
    <x v="542"/>
    <m/>
    <m/>
    <x v="0"/>
    <x v="0"/>
  </r>
  <r>
    <d v="2022-06-16T00:00:00"/>
    <x v="8"/>
    <x v="3"/>
    <x v="6"/>
    <x v="8"/>
    <n v="26777"/>
    <s v="fuite d'air "/>
    <s v="union rapide "/>
    <x v="0"/>
    <s v="réparation du fuite d'air "/>
    <n v="182388"/>
    <n v="60"/>
    <n v="60"/>
    <x v="542"/>
    <m/>
    <m/>
    <x v="0"/>
    <x v="0"/>
  </r>
  <r>
    <d v="2022-06-17T00:00:00"/>
    <x v="2"/>
    <x v="2"/>
    <x v="2"/>
    <x v="2"/>
    <n v="26778"/>
    <s v="Entretien"/>
    <s v="mise a niveau"/>
    <x v="0"/>
    <s v="mise a niveau d'hhuile hydraulique AW68"/>
    <n v="182289"/>
    <n v="30"/>
    <n v="30"/>
    <x v="543"/>
    <m/>
    <m/>
    <x v="0"/>
    <x v="0"/>
  </r>
  <r>
    <d v="2022-06-18T00:00:00"/>
    <x v="0"/>
    <x v="0"/>
    <x v="0"/>
    <x v="0"/>
    <n v="26780"/>
    <s v="direction"/>
    <s v="support volant"/>
    <x v="0"/>
    <s v="changement du soupport voalant de direction"/>
    <n v="182397"/>
    <n v="360"/>
    <n v="360"/>
    <x v="544"/>
    <m/>
    <m/>
    <x v="0"/>
    <x v="0"/>
  </r>
  <r>
    <d v="2022-06-20T00:00:00"/>
    <x v="16"/>
    <x v="1"/>
    <x v="5"/>
    <x v="14"/>
    <n v="26781"/>
    <s v="pneu"/>
    <s v="usure"/>
    <x v="0"/>
    <s v="changement du deux pneu ref 12R22,5 XZ_x000a_serie _x000a_TDB03557D_x000a_TDB30384D_x000a_734100 KM"/>
    <n v="183502"/>
    <n v="120"/>
    <n v="120"/>
    <x v="545"/>
    <m/>
    <m/>
    <x v="0"/>
    <x v="0"/>
  </r>
  <r>
    <d v="2022-06-21T00:00:00"/>
    <x v="5"/>
    <x v="3"/>
    <x v="3"/>
    <x v="5"/>
    <n v="26782"/>
    <s v="démarrage "/>
    <s v="gasoil "/>
    <x v="0"/>
    <s v="camion panne a anassi _x000a_réparation du probleme d'injection gasoil "/>
    <n v="183509"/>
    <n v="570"/>
    <n v="570"/>
    <x v="520"/>
    <m/>
    <m/>
    <x v="0"/>
    <x v="0"/>
  </r>
  <r>
    <d v="2022-06-21T00:00:00"/>
    <x v="23"/>
    <x v="3"/>
    <x v="6"/>
    <x v="18"/>
    <n v="26783"/>
    <s v="pneu"/>
    <s v="usure"/>
    <x v="0"/>
    <s v="changement du quatre pneu ref 315/80R22,5 x multi _x000a_serie _x000a_GHY01950_x000a_HHY00875E_x000a_HHY00709E_x000a_HHY033499E_x000a_54500 KM"/>
    <n v="183510"/>
    <n v="120"/>
    <n v="120"/>
    <x v="546"/>
    <m/>
    <m/>
    <x v="0"/>
    <x v="0"/>
  </r>
  <r>
    <d v="2022-06-21T00:00:00"/>
    <x v="11"/>
    <x v="3"/>
    <x v="3"/>
    <x v="11"/>
    <n v="26784"/>
    <s v="eclairage "/>
    <s v="des lampes "/>
    <x v="0"/>
    <s v="réparation d'eclairage et changeùent des lampes "/>
    <n v="183511"/>
    <n v="120"/>
    <n v="120"/>
    <x v="546"/>
    <m/>
    <m/>
    <x v="0"/>
    <x v="0"/>
  </r>
  <r>
    <d v="2022-06-21T00:00:00"/>
    <x v="8"/>
    <x v="3"/>
    <x v="6"/>
    <x v="8"/>
    <n v="26785"/>
    <s v="esuie glace "/>
    <s v="usure "/>
    <x v="0"/>
    <s v="changement du jeu du balai d'suie glace _x000a_montage dutuyau de souflage et netoyage "/>
    <n v="182396"/>
    <n v="60"/>
    <n v="60"/>
    <x v="544"/>
    <m/>
    <m/>
    <x v="0"/>
    <x v="0"/>
  </r>
  <r>
    <d v="2022-11-28T00:00:00"/>
    <x v="0"/>
    <x v="0"/>
    <x v="0"/>
    <x v="0"/>
    <m/>
    <s v="electrique "/>
    <s v="charge du battrie "/>
    <x v="0"/>
    <s v="changement d'alternateur de charge battrie "/>
    <m/>
    <n v="120"/>
    <n v="120"/>
    <x v="547"/>
    <m/>
    <m/>
    <x v="0"/>
    <x v="0"/>
  </r>
  <r>
    <d v="2023-01-07T00:00:00"/>
    <x v="4"/>
    <x v="1"/>
    <x v="3"/>
    <x v="4"/>
    <m/>
    <s v="eclairage "/>
    <s v="des lampes "/>
    <x v="0"/>
    <s v="réparation d'eclairage et hangement des lapes "/>
    <m/>
    <n v="240"/>
    <n v="240"/>
    <x v="548"/>
    <m/>
    <m/>
    <x v="0"/>
    <x v="0"/>
  </r>
  <r>
    <d v="2023-01-09T00:00:00"/>
    <x v="20"/>
    <x v="1"/>
    <x v="6"/>
    <x v="17"/>
    <m/>
    <s v="refroidissement"/>
    <s v="ventilateur de reefroidissement "/>
    <x v="2"/>
    <s v="changement du ventulateur de refroidissement et coupleur de ventilateur"/>
    <m/>
    <n v="570"/>
    <n v="2280"/>
    <x v="549"/>
    <m/>
    <m/>
    <x v="0"/>
    <x v="0"/>
  </r>
  <r>
    <d v="2023-01-10T00:00:00"/>
    <x v="5"/>
    <x v="3"/>
    <x v="3"/>
    <x v="5"/>
    <m/>
    <s v="suspension"/>
    <s v="des ressort a lame "/>
    <x v="0"/>
    <s v="réparation des elemnent de suspontion chez trans rajboun _x000a_essieu avant tracteur "/>
    <m/>
    <n v="750"/>
    <n v="750"/>
    <x v="550"/>
    <m/>
    <m/>
    <x v="0"/>
    <x v="0"/>
  </r>
  <r>
    <d v="2023-01-10T00:00:00"/>
    <x v="28"/>
    <x v="2"/>
    <x v="13"/>
    <x v="2"/>
    <m/>
    <s v="moteur thermique"/>
    <s v="fuite du gasoil "/>
    <x v="0"/>
    <s v="réparation du fuite de gasoil et changement tuyau de gasoil _x000a_vidange d'huile oteur _x000a_reinssage du liquide de refroidissement  et  mise au point d'antigel _x000a_réparation d'eclairage _x000a_28003 h"/>
    <m/>
    <n v="240"/>
    <n v="240"/>
    <x v="550"/>
    <m/>
    <m/>
    <x v="0"/>
    <x v="0"/>
  </r>
  <r>
    <d v="2023-01-12T00:00:00"/>
    <x v="10"/>
    <x v="1"/>
    <x v="8"/>
    <x v="10"/>
    <m/>
    <s v="Fuite d'air "/>
    <s v="flexible percé"/>
    <x v="0"/>
    <m/>
    <m/>
    <m/>
    <m/>
    <x v="57"/>
    <m/>
    <m/>
    <x v="0"/>
    <x v="0"/>
  </r>
  <r>
    <d v="2023-01-12T00:00:00"/>
    <x v="16"/>
    <x v="1"/>
    <x v="5"/>
    <x v="14"/>
    <m/>
    <s v="peinture "/>
    <s v="corrosion du carosserie "/>
    <x v="0"/>
    <s v="peinture generale du carosserie _x000a_reparation et dressage _x000a_des pieces endommage a cause d'une accident _x000a_"/>
    <m/>
    <m/>
    <m/>
    <x v="551"/>
    <m/>
    <m/>
    <x v="0"/>
    <x v="0"/>
  </r>
  <r>
    <d v="2023-01-18T00:00:00"/>
    <x v="26"/>
    <x v="2"/>
    <x v="15"/>
    <x v="2"/>
    <m/>
    <s v="essieu arriére "/>
    <s v="des axes "/>
    <x v="0"/>
    <s v="réparation des jeux au niveau d'essieu arrier _x000a_(réparatuion d'essieu par ARI )"/>
    <m/>
    <m/>
    <m/>
    <x v="57"/>
    <m/>
    <m/>
    <x v="0"/>
    <x v="0"/>
  </r>
  <r>
    <d v="2023-01-23T00:00:00"/>
    <x v="1"/>
    <x v="1"/>
    <x v="1"/>
    <x v="1"/>
    <m/>
    <s v="fissure au niveau_x000a_des jantes "/>
    <s v="crevaison pneu "/>
    <x v="0"/>
    <s v="changement du deux jantes ref 11R22,5 _x000a_changement du pompe d'amossage _x000a_changement du jeu de balai d'essuie _x000a_coupleur de ventilateur "/>
    <m/>
    <m/>
    <m/>
    <x v="57"/>
    <m/>
    <m/>
    <x v="0"/>
    <x v="0"/>
  </r>
  <r>
    <d v="2023-01-24T00:00:00"/>
    <x v="28"/>
    <x v="2"/>
    <x v="13"/>
    <x v="2"/>
    <m/>
    <s v="fuite d'huile hydraulique "/>
    <s v="distributeur hydr"/>
    <x v="0"/>
    <s v="réparation du fuite d'eau et changement des pastille du groupe _x000a_réparation du fuite d'huile hydrauliquee "/>
    <m/>
    <m/>
    <m/>
    <x v="57"/>
    <m/>
    <m/>
    <x v="0"/>
    <x v="0"/>
  </r>
  <r>
    <d v="2023-02-04T00:00:00"/>
    <x v="38"/>
    <x v="0"/>
    <x v="25"/>
    <x v="25"/>
    <m/>
    <s v="peinture et dressage "/>
    <s v="voiture accidenté"/>
    <x v="2"/>
    <s v="reparation des probleme de peinture et dressage du tole endommage a cause d'un accident "/>
    <m/>
    <m/>
    <m/>
    <x v="552"/>
    <m/>
    <m/>
    <x v="0"/>
    <x v="0"/>
  </r>
  <r>
    <d v="2023-02-06T00:00:00"/>
    <x v="43"/>
    <x v="2"/>
    <x v="29"/>
    <x v="28"/>
    <m/>
    <s v="injection gasoil "/>
    <s v="pompe d'injection "/>
    <x v="2"/>
    <s v="taraged et réparation des injecteur _x000a_réparation du pompe dinjection gasoil "/>
    <m/>
    <m/>
    <m/>
    <x v="57"/>
    <m/>
    <m/>
    <x v="0"/>
    <x v="0"/>
  </r>
  <r>
    <d v="2023-02-06T00:00:00"/>
    <x v="7"/>
    <x v="1"/>
    <x v="5"/>
    <x v="7"/>
    <m/>
    <s v="eclairage "/>
    <s v="charge du battrie "/>
    <x v="2"/>
    <s v="réparatio d'alternateur de charge battrie "/>
    <m/>
    <m/>
    <m/>
    <x v="57"/>
    <m/>
    <m/>
    <x v="0"/>
    <x v="0"/>
  </r>
  <r>
    <d v="2023-02-07T00:00:00"/>
    <x v="10"/>
    <x v="1"/>
    <x v="8"/>
    <x v="10"/>
    <m/>
    <s v="fuite  d'hule "/>
    <s v="flexible percé"/>
    <x v="2"/>
    <s v="changement du flexible hydraulique "/>
    <m/>
    <m/>
    <m/>
    <x v="57"/>
    <m/>
    <m/>
    <x v="0"/>
    <x v="0"/>
  </r>
  <r>
    <d v="2023-02-08T00:00:00"/>
    <x v="4"/>
    <x v="1"/>
    <x v="3"/>
    <x v="4"/>
    <m/>
    <s v="freinage "/>
    <s v="plaquettes de frein "/>
    <x v="2"/>
    <s v="changement du deux jeu de fiche usure plaquette de frein "/>
    <m/>
    <m/>
    <m/>
    <x v="57"/>
    <m/>
    <m/>
    <x v="0"/>
    <x v="0"/>
  </r>
  <r>
    <d v="2023-02-08T00:00:00"/>
    <x v="17"/>
    <x v="5"/>
    <x v="11"/>
    <x v="15"/>
    <m/>
    <s v="dierection "/>
    <s v="barre de direction"/>
    <x v="2"/>
    <s v="changement du barre de direction court"/>
    <m/>
    <m/>
    <m/>
    <x v="57"/>
    <m/>
    <m/>
    <x v="0"/>
    <x v="0"/>
  </r>
  <r>
    <d v="2023-02-08T00:00:00"/>
    <x v="30"/>
    <x v="9"/>
    <x v="24"/>
    <x v="24"/>
    <m/>
    <s v="freinage "/>
    <s v="pompe de frein "/>
    <x v="2"/>
    <s v="changement du pompede frein pour voiture dacia khalil"/>
    <m/>
    <m/>
    <m/>
    <x v="57"/>
    <m/>
    <m/>
    <x v="0"/>
    <x v="0"/>
  </r>
  <r>
    <d v="2023-02-09T00:00:00"/>
    <x v="20"/>
    <x v="1"/>
    <x v="6"/>
    <x v="17"/>
    <m/>
    <s v="refroidissement du moteur"/>
    <s v="coupleur de ventilateur "/>
    <x v="2"/>
    <s v="changeùment du coupleur de ventilateur de refroidissemnt "/>
    <m/>
    <m/>
    <m/>
    <x v="57"/>
    <m/>
    <m/>
    <x v="0"/>
    <x v="0"/>
  </r>
  <r>
    <d v="2023-02-15T00:00:00"/>
    <x v="10"/>
    <x v="1"/>
    <x v="8"/>
    <x v="10"/>
    <m/>
    <s v="electronique "/>
    <s v="diagnostique "/>
    <x v="2"/>
    <s v="diagnostique et réparation du probleme d'air comprimé "/>
    <m/>
    <m/>
    <m/>
    <x v="553"/>
    <m/>
    <m/>
    <x v="0"/>
    <x v="0"/>
  </r>
  <r>
    <d v="2023-02-17T00:00:00"/>
    <x v="1"/>
    <x v="1"/>
    <x v="1"/>
    <x v="1"/>
    <m/>
    <s v="charge du battrie "/>
    <s v="courroie d'alternateur "/>
    <x v="2"/>
    <s v="changement du courroie de charge battrie "/>
    <m/>
    <m/>
    <m/>
    <x v="554"/>
    <m/>
    <m/>
    <x v="0"/>
    <x v="0"/>
  </r>
  <r>
    <d v="2023-02-21T00:00:00"/>
    <x v="17"/>
    <x v="5"/>
    <x v="11"/>
    <x v="15"/>
    <m/>
    <s v="refroidissement du moteur"/>
    <s v="pompe a eau "/>
    <x v="2"/>
    <s v="changement du pompe a eau "/>
    <m/>
    <m/>
    <m/>
    <x v="57"/>
    <m/>
    <m/>
    <x v="0"/>
    <x v="0"/>
  </r>
  <r>
    <d v="2023-02-22T00:00:00"/>
    <x v="20"/>
    <x v="1"/>
    <x v="6"/>
    <x v="17"/>
    <m/>
    <s v="moteur thermique "/>
    <s v="probleme de rendement "/>
    <x v="2"/>
    <s v="contrôle de source de probleme mauvais rendement oteur _x000a_et changement du kit d'embayage complet"/>
    <m/>
    <m/>
    <m/>
    <x v="57"/>
    <m/>
    <m/>
    <x v="0"/>
    <x v="0"/>
  </r>
  <r>
    <d v="2023-03-01T00:00:00"/>
    <x v="30"/>
    <x v="16"/>
    <x v="24"/>
    <x v="24"/>
    <m/>
    <s v="moteur thermique "/>
    <s v="probleme d'echauffement du moteur "/>
    <x v="0"/>
    <s v="mise a nouveur du chariot t ellimination des fuites hydraulique _x000a_changement du moteur thermique achat du laferaille "/>
    <m/>
    <n v="6840"/>
    <n v="8550"/>
    <x v="555"/>
    <m/>
    <m/>
    <x v="0"/>
    <x v="0"/>
  </r>
  <r>
    <d v="2023-03-01T00:00:00"/>
    <x v="33"/>
    <x v="2"/>
    <x v="18"/>
    <x v="2"/>
    <m/>
    <s v="pneu"/>
    <s v="usure "/>
    <x v="0"/>
    <s v="changement d'essieu arriere complet achat du laferaille _x000a_changement du deux pneu arriere _x000a_probleme au niveua du comande electronique _x000a_intervention sous reserve du sté SRM"/>
    <m/>
    <n v="13680"/>
    <n v="13680"/>
    <x v="556"/>
    <m/>
    <m/>
    <x v="0"/>
    <x v="0"/>
  </r>
  <r>
    <d v="2023-03-02T00:00:00"/>
    <x v="5"/>
    <x v="3"/>
    <x v="3"/>
    <x v="5"/>
    <m/>
    <s v="Entretien"/>
    <s v="vidange"/>
    <x v="2"/>
    <s v="vidange d'huile moteur et cangement des filtre a gasoil _x000a_lavage et graissage geneale d'engin "/>
    <m/>
    <n v="180"/>
    <n v="180"/>
    <x v="555"/>
    <m/>
    <m/>
    <x v="0"/>
    <x v="0"/>
  </r>
  <r>
    <d v="2023-03-02T00:00:00"/>
    <x v="23"/>
    <x v="3"/>
    <x v="6"/>
    <x v="18"/>
    <m/>
    <s v="eclairage "/>
    <s v="des lampes "/>
    <x v="0"/>
    <s v="réparation d'eclairage et changement des lampes "/>
    <m/>
    <n v="180"/>
    <n v="180"/>
    <x v="555"/>
    <m/>
    <m/>
    <x v="0"/>
    <x v="0"/>
  </r>
  <r>
    <d v="2023-03-02T00:00:00"/>
    <x v="2"/>
    <x v="2"/>
    <x v="2"/>
    <x v="2"/>
    <m/>
    <s v="roue arriere"/>
    <s v="bruit anormale "/>
    <x v="0"/>
    <s v="changement du roullement du roue arriere droit "/>
    <m/>
    <n v="570"/>
    <n v="1140"/>
    <x v="555"/>
    <m/>
    <m/>
    <x v="0"/>
    <x v="0"/>
  </r>
  <r>
    <d v="2023-03-02T00:00:00"/>
    <x v="29"/>
    <x v="2"/>
    <x v="16"/>
    <x v="2"/>
    <m/>
    <s v="Entretien"/>
    <s v="vidange"/>
    <x v="6"/>
    <s v="vidange d'huile moteur 15w40 "/>
    <m/>
    <n v="120"/>
    <n v="120"/>
    <x v="555"/>
    <m/>
    <m/>
    <x v="0"/>
    <x v="0"/>
  </r>
  <r>
    <d v="2023-03-02T00:00:00"/>
    <x v="39"/>
    <x v="7"/>
    <x v="12"/>
    <x v="2"/>
    <m/>
    <s v="moteur thermique "/>
    <s v="echaffement du moteur"/>
    <x v="0"/>
    <s v="changement du pochette roudage _x000a_changemùent dupalier du croisillon _x000a_et croisillon du cardon "/>
    <m/>
    <n v="8550"/>
    <n v="9120"/>
    <x v="557"/>
    <m/>
    <m/>
    <x v="0"/>
    <x v="0"/>
  </r>
  <r>
    <d v="2023-03-03T00:00:00"/>
    <x v="15"/>
    <x v="2"/>
    <x v="10"/>
    <x v="2"/>
    <m/>
    <s v="roue arriere"/>
    <s v="moyeur de roue "/>
    <x v="0"/>
    <s v="changement du kit réparation moyeu de roue arrier "/>
    <m/>
    <n v="1710"/>
    <n v="1710"/>
    <x v="558"/>
    <m/>
    <m/>
    <x v="0"/>
    <x v="0"/>
  </r>
  <r>
    <d v="2023-03-03T00:00:00"/>
    <x v="28"/>
    <x v="2"/>
    <x v="13"/>
    <x v="2"/>
    <m/>
    <s v="démarrage "/>
    <s v="démarreur _x000a_"/>
    <x v="0"/>
    <s v="réparation du probleme de démarrae moteur et changeent du relai démarreur"/>
    <m/>
    <n v="1140"/>
    <n v="1140"/>
    <x v="559"/>
    <m/>
    <m/>
    <x v="0"/>
    <x v="0"/>
  </r>
  <r>
    <d v="2023-03-04T00:00:00"/>
    <x v="30"/>
    <x v="17"/>
    <x v="24"/>
    <x v="24"/>
    <m/>
    <s v="freinage "/>
    <s v="garniture de frein "/>
    <x v="0"/>
    <s v="changement du deux jeu de garniture de frein _x000a_changement des master de frein avant et raglage du jeu de frein avant et arriere "/>
    <m/>
    <n v="2280"/>
    <n v="5700"/>
    <x v="560"/>
    <m/>
    <m/>
    <x v="0"/>
    <x v="0"/>
  </r>
  <r>
    <d v="2023-03-06T00:00:00"/>
    <x v="11"/>
    <x v="3"/>
    <x v="3"/>
    <x v="11"/>
    <m/>
    <s v="eclairage "/>
    <s v="des lampes "/>
    <x v="0"/>
    <s v="réparation d'eclairage et changement des lampes "/>
    <m/>
    <n v="120"/>
    <n v="120"/>
    <x v="559"/>
    <m/>
    <m/>
    <x v="0"/>
    <x v="0"/>
  </r>
  <r>
    <d v="2023-03-06T00:00:00"/>
    <x v="30"/>
    <x v="18"/>
    <x v="24"/>
    <x v="24"/>
    <m/>
    <s v="fuite d'huile hydraulique "/>
    <s v="des joints "/>
    <x v="0"/>
    <s v="réparation du probleme de démarrage et changement des joint torique "/>
    <m/>
    <n v="1140"/>
    <n v="1140"/>
    <x v="561"/>
    <m/>
    <m/>
    <x v="0"/>
    <x v="0"/>
  </r>
  <r>
    <d v="2023-03-11T00:00:00"/>
    <x v="16"/>
    <x v="1"/>
    <x v="5"/>
    <x v="14"/>
    <m/>
    <s v="fuite d'air"/>
    <s v="tuyau "/>
    <x v="0"/>
    <s v="sortie hors ste pour réparation du fuite d'air comprimé "/>
    <m/>
    <n v="570"/>
    <n v="570"/>
    <x v="562"/>
    <m/>
    <m/>
    <x v="0"/>
    <x v="0"/>
  </r>
  <r>
    <d v="2023-03-15T00:00:00"/>
    <x v="33"/>
    <x v="2"/>
    <x v="18"/>
    <x v="2"/>
    <m/>
    <s v="essieu arriere "/>
    <s v="des bagues "/>
    <x v="0"/>
    <s v="changement d'essieu arriere complet achat du laferaille"/>
    <m/>
    <n v="1140"/>
    <n v="1140"/>
    <x v="563"/>
    <m/>
    <m/>
    <x v="0"/>
    <x v="0"/>
  </r>
  <r>
    <d v="2023-03-18T00:00:00"/>
    <x v="23"/>
    <x v="3"/>
    <x v="6"/>
    <x v="18"/>
    <m/>
    <s v="freinage "/>
    <s v="venteuse de frein"/>
    <x v="0"/>
    <s v="changement du deux venteuse de frein pour plateau "/>
    <m/>
    <n v="180"/>
    <n v="180"/>
    <x v="563"/>
    <m/>
    <m/>
    <x v="0"/>
    <x v="0"/>
  </r>
  <r>
    <d v="2023-03-19T00:00:00"/>
    <x v="10"/>
    <x v="1"/>
    <x v="8"/>
    <x v="10"/>
    <m/>
    <s v="refroidissement du moteur"/>
    <s v="liquide de refroidissemnt "/>
    <x v="0"/>
    <s v="reinssage de liquide de refroidsissemnt "/>
    <m/>
    <n v="240"/>
    <n v="240"/>
    <x v="564"/>
    <m/>
    <m/>
    <x v="0"/>
    <x v="0"/>
  </r>
  <r>
    <d v="2023-03-21T00:00:00"/>
    <x v="8"/>
    <x v="3"/>
    <x v="6"/>
    <x v="8"/>
    <m/>
    <s v="Entretien"/>
    <s v="vidange"/>
    <x v="1"/>
    <s v="vidange d'huiile moteur et changement des filtre a hiuuile gasoil et prefiltre a gasoil "/>
    <m/>
    <n v="120"/>
    <n v="120"/>
    <x v="565"/>
    <m/>
    <m/>
    <x v="0"/>
    <x v="0"/>
  </r>
  <r>
    <d v="2023-03-22T00:00:00"/>
    <x v="12"/>
    <x v="3"/>
    <x v="3"/>
    <x v="12"/>
    <m/>
    <s v="eclairage "/>
    <s v="des lampes "/>
    <x v="0"/>
    <s v="réparation d'eclairage et changeùent des lampes "/>
    <m/>
    <n v="180"/>
    <n v="180"/>
    <x v="566"/>
    <m/>
    <m/>
    <x v="0"/>
    <x v="0"/>
  </r>
  <r>
    <d v="2023-03-22T00:00:00"/>
    <x v="23"/>
    <x v="3"/>
    <x v="6"/>
    <x v="18"/>
    <m/>
    <s v="reservoire du gasoil "/>
    <s v="fixation du reservoire"/>
    <x v="0"/>
    <s v="réparation du fixation du reservoire gasoil "/>
    <m/>
    <n v="360"/>
    <n v="360"/>
    <x v="567"/>
    <m/>
    <m/>
    <x v="0"/>
    <x v="0"/>
  </r>
  <r>
    <d v="2023-03-23T00:00:00"/>
    <x v="7"/>
    <x v="1"/>
    <x v="5"/>
    <x v="7"/>
    <m/>
    <s v="Entretien"/>
    <s v="vidange"/>
    <x v="1"/>
    <s v="vidange d'huile moteur _x000a_lavage et graissage generale d'engin "/>
    <m/>
    <n v="120"/>
    <n v="120"/>
    <x v="567"/>
    <m/>
    <m/>
    <x v="0"/>
    <x v="0"/>
  </r>
  <r>
    <d v="2023-03-25T00:00:00"/>
    <x v="3"/>
    <x v="1"/>
    <x v="3"/>
    <x v="3"/>
    <m/>
    <s v="refroidissement du moteur"/>
    <s v="refrigerant du moteur "/>
    <x v="0"/>
    <s v="changement du refrigerant d'huile moteur et reparation du probleme de refroidissemnt _x000a_reinssage  du circuit d'eau "/>
    <m/>
    <n v="1140"/>
    <n v="1140"/>
    <x v="568"/>
    <m/>
    <m/>
    <x v="0"/>
    <x v="0"/>
  </r>
  <r>
    <d v="2023-03-27T00:00:00"/>
    <x v="4"/>
    <x v="1"/>
    <x v="3"/>
    <x v="4"/>
    <m/>
    <s v="Entretien"/>
    <s v="vidange"/>
    <x v="2"/>
    <s v="vidange d'huile du boite de vitesse    "/>
    <m/>
    <n v="120"/>
    <n v="120"/>
    <x v="569"/>
    <m/>
    <m/>
    <x v="0"/>
    <x v="0"/>
  </r>
  <r>
    <d v="2023-03-29T00:00:00"/>
    <x v="2"/>
    <x v="2"/>
    <x v="2"/>
    <x v="2"/>
    <m/>
    <s v="refroidissement du moteur"/>
    <s v="ventilateur ede refroidissement "/>
    <x v="0"/>
    <s v="changement du ventilateur de refroidissement _x000a_réparation du fixation courroie"/>
    <m/>
    <n v="300"/>
    <n v="2280"/>
    <x v="570"/>
    <m/>
    <m/>
    <x v="0"/>
    <x v="0"/>
  </r>
  <r>
    <d v="2023-04-01T00:00:00"/>
    <x v="19"/>
    <x v="7"/>
    <x v="12"/>
    <x v="2"/>
    <m/>
    <s v="fuite d'huile hydraulique "/>
    <s v="des verins"/>
    <x v="0"/>
    <s v="changement des kit réparation du deux verin hydraulique de direction _x000a_wafabenne "/>
    <m/>
    <n v="2280"/>
    <n v="3420"/>
    <x v="571"/>
    <m/>
    <m/>
    <x v="0"/>
    <x v="0"/>
  </r>
  <r>
    <d v="2023-04-01T00:00:00"/>
    <x v="17"/>
    <x v="5"/>
    <x v="11"/>
    <x v="15"/>
    <m/>
    <s v="carosserie "/>
    <s v="peinture "/>
    <x v="2"/>
    <s v="réparation du porte arrire et pentire du pare cho arrire "/>
    <m/>
    <n v="1140"/>
    <n v="1140"/>
    <x v="572"/>
    <m/>
    <m/>
    <x v="0"/>
    <x v="0"/>
  </r>
  <r>
    <d v="2023-04-02T00:00:00"/>
    <x v="17"/>
    <x v="5"/>
    <x v="11"/>
    <x v="15"/>
    <m/>
    <s v="freinage et embrayage "/>
    <s v="garniturere de frein "/>
    <x v="0"/>
    <s v="réparation du freinage et changement du jeu de garniturer de frein et kit réparation master de frein arrier et quatre master de frein avant_x000a_changement du kit d'embrayage complet"/>
    <m/>
    <n v="3420"/>
    <n v="3420"/>
    <x v="572"/>
    <m/>
    <m/>
    <x v="0"/>
    <x v="0"/>
  </r>
  <r>
    <d v="2023-04-02T00:00:00"/>
    <x v="40"/>
    <x v="0"/>
    <x v="24"/>
    <x v="24"/>
    <m/>
    <s v="moteur thermique"/>
    <s v="refroidissement erriguliaire "/>
    <x v="0"/>
    <s v="changement du moteur thrmique achat du l'aferaille changementdu  radiateur de refroidissement _x000a_"/>
    <m/>
    <m/>
    <m/>
    <x v="57"/>
    <m/>
    <m/>
    <x v="0"/>
    <x v="0"/>
  </r>
  <r>
    <d v="2023-04-02T00:00:00"/>
    <x v="18"/>
    <x v="1"/>
    <x v="5"/>
    <x v="16"/>
    <m/>
    <s v="transmission "/>
    <s v="prise de force "/>
    <x v="0"/>
    <s v="changement du prise de force pour pompe de grue de levage"/>
    <m/>
    <n v="1140"/>
    <n v="171"/>
    <x v="572"/>
    <m/>
    <m/>
    <x v="0"/>
    <x v="0"/>
  </r>
  <r>
    <d v="2023-04-03T00:00:00"/>
    <x v="12"/>
    <x v="3"/>
    <x v="3"/>
    <x v="12"/>
    <m/>
    <s v="eclairage "/>
    <s v="des lampes "/>
    <x v="0"/>
    <s v="réparration d'eclairage et chagement des lampes "/>
    <m/>
    <n v="120"/>
    <n v="120"/>
    <x v="573"/>
    <m/>
    <m/>
    <x v="0"/>
    <x v="0"/>
  </r>
  <r>
    <d v="2023-04-04T00:00:00"/>
    <x v="5"/>
    <x v="3"/>
    <x v="3"/>
    <x v="5"/>
    <m/>
    <s v="suspention"/>
    <s v="des brides de serrag"/>
    <x v="0"/>
    <s v="sortie hors sté pour changement des brisdes de serrage des ressort a lame "/>
    <m/>
    <m/>
    <m/>
    <x v="57"/>
    <m/>
    <m/>
    <x v="0"/>
    <x v="0"/>
  </r>
  <r>
    <d v="2023-04-04T00:00:00"/>
    <x v="5"/>
    <x v="3"/>
    <x v="3"/>
    <x v="5"/>
    <m/>
    <s v="eclairage "/>
    <s v="des lampes "/>
    <x v="0"/>
    <s v="réparation d'eclairage et changement des lampes "/>
    <m/>
    <n v="240"/>
    <n v="240"/>
    <x v="570"/>
    <m/>
    <m/>
    <x v="0"/>
    <x v="0"/>
  </r>
  <r>
    <d v="2023-04-04T00:00:00"/>
    <x v="16"/>
    <x v="1"/>
    <x v="5"/>
    <x v="14"/>
    <m/>
    <s v="Entretien"/>
    <s v="vidange"/>
    <x v="0"/>
    <s v="vidange d'ehuile moteur 15w40  "/>
    <m/>
    <n v="120"/>
    <n v="120"/>
    <x v="570"/>
    <m/>
    <m/>
    <x v="0"/>
    <x v="0"/>
  </r>
  <r>
    <d v="2023-04-06T00:00:00"/>
    <x v="23"/>
    <x v="3"/>
    <x v="6"/>
    <x v="18"/>
    <m/>
    <s v="GASOIL "/>
    <s v="fixation du reservoire gasoil "/>
    <x v="0"/>
    <s v="réparation du fixation du reservoire de gasoil "/>
    <m/>
    <n v="240"/>
    <n v="240"/>
    <x v="574"/>
    <m/>
    <m/>
    <x v="0"/>
    <x v="0"/>
  </r>
  <r>
    <d v="2023-04-06T00:00:00"/>
    <x v="0"/>
    <x v="0"/>
    <x v="0"/>
    <x v="0"/>
    <m/>
    <s v="suspontion "/>
    <s v="des amortisseurs"/>
    <x v="0"/>
    <s v="reparation des element de suspontion et changement des amortisseurs avant et des amortisseur arriere _x000a_changement des bielette de suspontion _x000a_changement du jeu de plaquette avant et desz garniture arriere _x000a_changement du jeu de balaie d'essuie gmlace "/>
    <m/>
    <n v="3420"/>
    <n v="4560"/>
    <x v="575"/>
    <m/>
    <m/>
    <x v="0"/>
    <x v="0"/>
  </r>
  <r>
    <d v="2023-04-07T00:00:00"/>
    <x v="29"/>
    <x v="2"/>
    <x v="16"/>
    <x v="2"/>
    <m/>
    <s v="GASOIL "/>
    <s v="fuite au niveau du pompe a gasoil "/>
    <x v="0"/>
    <s v="réparation du pompe a gasoil a ste casa diesel "/>
    <m/>
    <n v="1710"/>
    <n v="3420"/>
    <x v="575"/>
    <m/>
    <m/>
    <x v="0"/>
    <x v="0"/>
  </r>
  <r>
    <d v="2023-04-12T00:00:00"/>
    <x v="19"/>
    <x v="7"/>
    <x v="12"/>
    <x v="2"/>
    <m/>
    <s v="fuite d'huile hydraulique "/>
    <s v="des joints "/>
    <x v="0"/>
    <s v="réparation des fuites au niveau de dlexible hydraulique "/>
    <m/>
    <n v="570"/>
    <n v="570"/>
    <x v="576"/>
    <m/>
    <m/>
    <x v="0"/>
    <x v="0"/>
  </r>
  <r>
    <d v="2023-04-15T00:00:00"/>
    <x v="12"/>
    <x v="3"/>
    <x v="3"/>
    <x v="12"/>
    <m/>
    <s v="pneu"/>
    <s v="usure"/>
    <x v="0"/>
    <s v="chagement du quatre pneu ref 315/80R22,5"/>
    <m/>
    <n v="240"/>
    <n v="240"/>
    <x v="577"/>
    <m/>
    <m/>
    <x v="0"/>
    <x v="0"/>
  </r>
  <r>
    <d v="2023-04-15T00:00:00"/>
    <x v="7"/>
    <x v="1"/>
    <x v="5"/>
    <x v="7"/>
    <m/>
    <s v="pneu"/>
    <s v="usure"/>
    <x v="0"/>
    <s v="chagement du quatre pneu ref 315/80R22,5"/>
    <m/>
    <n v="240"/>
    <n v="240"/>
    <x v="577"/>
    <m/>
    <m/>
    <x v="0"/>
    <x v="0"/>
  </r>
  <r>
    <d v="2023-04-18T00:00:00"/>
    <x v="3"/>
    <x v="1"/>
    <x v="3"/>
    <x v="3"/>
    <m/>
    <s v="carosserie "/>
    <s v="vitre avant "/>
    <x v="0"/>
    <s v="chgangement du jeu du balai d'esuie glace "/>
    <m/>
    <n v="120"/>
    <n v="120"/>
    <x v="578"/>
    <m/>
    <m/>
    <x v="0"/>
    <x v="0"/>
  </r>
  <r>
    <d v="2023-04-18T00:00:00"/>
    <x v="20"/>
    <x v="1"/>
    <x v="6"/>
    <x v="17"/>
    <m/>
    <s v="démarrage moteur"/>
    <s v="battriue de démarrage "/>
    <x v="0"/>
    <s v="changement du deux battrie de démarrage 12v l5 "/>
    <m/>
    <n v="240"/>
    <n v="240"/>
    <x v="578"/>
    <m/>
    <m/>
    <x v="0"/>
    <x v="0"/>
  </r>
  <r>
    <d v="2023-04-25T00:00:00"/>
    <x v="4"/>
    <x v="1"/>
    <x v="3"/>
    <x v="4"/>
    <m/>
    <s v="fuite d'huile hydraulique "/>
    <s v="joint du pompe"/>
    <x v="0"/>
    <s v="changement du joint du pompe de grue de levage _x000a_reparation du fuite au niveau moteur "/>
    <m/>
    <n v="1140"/>
    <n v="2850"/>
    <x v="579"/>
    <m/>
    <m/>
    <x v="0"/>
    <x v="0"/>
  </r>
  <r>
    <d v="2023-04-26T00:00:00"/>
    <x v="8"/>
    <x v="3"/>
    <x v="6"/>
    <x v="8"/>
    <m/>
    <s v="freinage"/>
    <s v="garniture de frein"/>
    <x v="0"/>
    <s v="réparation du preobleme de freinage et réglage du jeu de frein _x000a_changement du liquide de refroidissemùent _x000a_réparation du fuite d'huile moteur"/>
    <m/>
    <n v="570"/>
    <n v="1140"/>
    <x v="580"/>
    <m/>
    <m/>
    <x v="0"/>
    <x v="0"/>
  </r>
  <r>
    <d v="2023-04-29T00:00:00"/>
    <x v="11"/>
    <x v="3"/>
    <x v="3"/>
    <x v="11"/>
    <m/>
    <s v="eclairage "/>
    <s v="des lampes "/>
    <x v="0"/>
    <s v="réparation d'eclaige et changement des lampes "/>
    <m/>
    <n v="120"/>
    <n v="120"/>
    <x v="581"/>
    <m/>
    <m/>
    <x v="0"/>
    <x v="0"/>
  </r>
  <r>
    <d v="2023-05-01T00:00:00"/>
    <x v="28"/>
    <x v="2"/>
    <x v="13"/>
    <x v="2"/>
    <m/>
    <s v="moteur thermique "/>
    <s v="moteur "/>
    <x v="0"/>
    <s v="changement du moteur thermique (achat du laferaille )_x000a_changement des flexibles hydraulique _x000a_changement des filtres et vidange d'huile moteur _x000a_28300 h"/>
    <m/>
    <n v="14820"/>
    <n v="14820"/>
    <x v="582"/>
    <m/>
    <m/>
    <x v="0"/>
    <x v="0"/>
  </r>
  <r>
    <d v="2023-05-02T00:00:00"/>
    <x v="9"/>
    <x v="5"/>
    <x v="7"/>
    <x v="9"/>
    <m/>
    <s v="Entretien"/>
    <s v="vidange"/>
    <x v="0"/>
    <s v="vidange d'huile moteur 15w40"/>
    <m/>
    <n v="120"/>
    <n v="120"/>
    <x v="583"/>
    <m/>
    <m/>
    <x v="0"/>
    <x v="0"/>
  </r>
  <r>
    <d v="2023-05-02T00:00:00"/>
    <x v="9"/>
    <x v="5"/>
    <x v="7"/>
    <x v="9"/>
    <m/>
    <s v="Entretien"/>
    <s v="vidange"/>
    <x v="0"/>
    <s v="vidange d'huile moteur 15w40_x000a_lavage et graissage genarale d'engin _x000a_160600 km"/>
    <m/>
    <n v="120"/>
    <n v="120"/>
    <x v="583"/>
    <m/>
    <m/>
    <x v="0"/>
    <x v="0"/>
  </r>
  <r>
    <d v="2023-05-03T00:00:00"/>
    <x v="6"/>
    <x v="4"/>
    <x v="4"/>
    <x v="6"/>
    <m/>
    <s v="carosserie "/>
    <s v="caisse d'outillage"/>
    <x v="0"/>
    <s v="confection du caisse d'outillage _x000a_changement du pare brise avant "/>
    <m/>
    <n v="570"/>
    <n v="570"/>
    <x v="584"/>
    <m/>
    <m/>
    <x v="0"/>
    <x v="0"/>
  </r>
  <r>
    <d v="2023-05-03T00:00:00"/>
    <x v="17"/>
    <x v="5"/>
    <x v="11"/>
    <x v="15"/>
    <m/>
    <s v="carosserie "/>
    <s v="peinture "/>
    <x v="0"/>
    <s v="dressage et peinture du parchoc arriere "/>
    <m/>
    <n v="570"/>
    <n v="570"/>
    <x v="585"/>
    <m/>
    <m/>
    <x v="0"/>
    <x v="0"/>
  </r>
  <r>
    <d v="2023-05-04T00:00:00"/>
    <x v="1"/>
    <x v="1"/>
    <x v="1"/>
    <x v="1"/>
    <m/>
    <s v="suspention"/>
    <s v="des element endommmagée "/>
    <x v="0"/>
    <s v="réparation des element de suspention endommagé "/>
    <m/>
    <n v="570"/>
    <n v="570"/>
    <x v="585"/>
    <m/>
    <m/>
    <x v="0"/>
    <x v="0"/>
  </r>
  <r>
    <d v="2023-05-04T00:00:00"/>
    <x v="15"/>
    <x v="2"/>
    <x v="10"/>
    <x v="2"/>
    <m/>
    <s v="moteur"/>
    <s v="moiteur endommage "/>
    <x v="0"/>
    <s v="démotage generale d'engin pour mise a nouveu _x000a_et changement du moteur thermique _x000a_achat du laferaille _x000a_changement du pompe a eau _x000a_changement des flexible _x000a_changement des durite _x000a_on cour de réparation"/>
    <m/>
    <m/>
    <m/>
    <x v="57"/>
    <m/>
    <m/>
    <x v="0"/>
    <x v="0"/>
  </r>
  <r>
    <d v="2023-05-04T00:00:00"/>
    <x v="20"/>
    <x v="1"/>
    <x v="6"/>
    <x v="17"/>
    <m/>
    <s v="démarrage"/>
    <s v="des battries"/>
    <x v="0"/>
    <s v="changement de deux battrie de démarrage l5 "/>
    <m/>
    <n v="120"/>
    <n v="120"/>
    <x v="585"/>
    <m/>
    <m/>
    <x v="0"/>
    <x v="0"/>
  </r>
  <r>
    <d v="2023-05-04T00:00:00"/>
    <x v="12"/>
    <x v="3"/>
    <x v="3"/>
    <x v="12"/>
    <m/>
    <s v="eclairage "/>
    <s v="des lampes "/>
    <x v="0"/>
    <s v="réparation d'eclairage et changement des lampes "/>
    <m/>
    <n v="120"/>
    <n v="120"/>
    <x v="585"/>
    <m/>
    <m/>
    <x v="0"/>
    <x v="0"/>
  </r>
  <r>
    <d v="2023-05-04T00:00:00"/>
    <x v="26"/>
    <x v="2"/>
    <x v="15"/>
    <x v="2"/>
    <m/>
    <s v="Entretien"/>
    <s v="vidange "/>
    <x v="1"/>
    <s v="vidange d'huile moteur et changement _x000a_du filtre a huile 2654403_x000a_filtre a gasoil 26561117_x000a_filtre a air rm 954_x000a_filtre ahydraulique 561749 nf_x000a_2840 h_x000a_"/>
    <m/>
    <n v="240"/>
    <n v="240"/>
    <x v="585"/>
    <m/>
    <m/>
    <x v="0"/>
    <x v="0"/>
  </r>
  <r>
    <d v="2023-05-06T00:00:00"/>
    <x v="19"/>
    <x v="7"/>
    <x v="12"/>
    <x v="2"/>
    <m/>
    <s v="transmission "/>
    <s v="cardon de transmission"/>
    <x v="0"/>
    <s v="réparation diu fixation du cardon de transmission _x000a_mise a niveau d'huile hydraaulique _x000a_changement du croisillon du cardon n"/>
    <m/>
    <n v="1140"/>
    <n v="1140"/>
    <x v="586"/>
    <m/>
    <m/>
    <x v="0"/>
    <x v="0"/>
  </r>
  <r>
    <d v="2023-05-08T00:00:00"/>
    <x v="2"/>
    <x v="2"/>
    <x v="2"/>
    <x v="2"/>
    <m/>
    <s v="Entretien"/>
    <s v="vidange"/>
    <x v="0"/>
    <s v="vidange d'huile poteur et changement du filtre a huile ref 01174416_x000a_filtre a gasoil ref 1174696_x000a_changement du démarreur 12 complet _x000a_4800 h_x000a_"/>
    <m/>
    <m/>
    <m/>
    <x v="57"/>
    <m/>
    <m/>
    <x v="0"/>
    <x v="0"/>
  </r>
  <r>
    <d v="2023-05-09T00:00:00"/>
    <x v="16"/>
    <x v="1"/>
    <x v="5"/>
    <x v="14"/>
    <m/>
    <s v="Entretien"/>
    <s v="vidange"/>
    <x v="0"/>
    <s v="vidange d'huile moteur et changeent du filtre  a huile ref me 034611_x000a_filtre a gasoil ref me 073160_x000a_filtre a air meme 073160_x000a_814000 km"/>
    <m/>
    <n v="240"/>
    <n v="240"/>
    <x v="587"/>
    <m/>
    <m/>
    <x v="0"/>
    <x v="0"/>
  </r>
  <r>
    <d v="2023-05-11T00:00:00"/>
    <x v="23"/>
    <x v="3"/>
    <x v="6"/>
    <x v="18"/>
    <m/>
    <s v="démarrage "/>
    <s v="des cosses battrie "/>
    <x v="0"/>
    <s v="changement des cosses battrie et mise a niveau d'eau de battrie _x000a_réparation d'eclairtage et changement des lampes "/>
    <m/>
    <n v="240"/>
    <n v="240"/>
    <x v="588"/>
    <m/>
    <m/>
    <x v="0"/>
    <x v="0"/>
  </r>
  <r>
    <d v="2023-05-11T00:00:00"/>
    <x v="38"/>
    <x v="0"/>
    <x v="25"/>
    <x v="25"/>
    <m/>
    <s v="Entretien"/>
    <s v="vidange"/>
    <x v="1"/>
    <s v="vidange d'huile moteur et changement du filtre a huile et filtre a gasoil et filtre a air _x000a_197000 km"/>
    <m/>
    <m/>
    <m/>
    <x v="57"/>
    <m/>
    <m/>
    <x v="0"/>
    <x v="0"/>
  </r>
  <r>
    <d v="2023-05-12T00:00:00"/>
    <x v="0"/>
    <x v="0"/>
    <x v="0"/>
    <x v="0"/>
    <m/>
    <s v="freinage "/>
    <s v="des plaquette de fren"/>
    <x v="0"/>
    <s v="reparatyion de freinage et changement des plaquette _x000a_des master de freinarriere_x000a_changement du cable de freina a main"/>
    <m/>
    <n v="570"/>
    <n v="570"/>
    <x v="589"/>
    <m/>
    <m/>
    <x v="0"/>
    <x v="0"/>
  </r>
  <r>
    <d v="2023-05-12T00:00:00"/>
    <x v="19"/>
    <x v="7"/>
    <x v="12"/>
    <x v="2"/>
    <m/>
    <s v="transmission "/>
    <s v="cardon de transmission"/>
    <x v="0"/>
    <s v="changement des vis de fixation du cardon de transmission"/>
    <m/>
    <n v="570"/>
    <n v="570"/>
    <x v="590"/>
    <m/>
    <m/>
    <x v="0"/>
    <x v="0"/>
  </r>
  <r>
    <d v="2023-05-15T00:00:00"/>
    <x v="3"/>
    <x v="1"/>
    <x v="3"/>
    <x v="3"/>
    <m/>
    <s v="fuite d'huile"/>
    <s v="prise de force "/>
    <x v="0"/>
    <s v="réparation du prise de force et changement de leur joint _x000a_vidange d'huile de boite a vitesse _x000a_réparation du fuite d'air comprimé _x000a_"/>
    <m/>
    <n v="1140"/>
    <n v="1140"/>
    <x v="591"/>
    <m/>
    <m/>
    <x v="0"/>
    <x v="0"/>
  </r>
  <r>
    <d v="2023-05-15T00:00:00"/>
    <x v="8"/>
    <x v="3"/>
    <x v="6"/>
    <x v="8"/>
    <m/>
    <s v="eclairage "/>
    <s v="des lampes "/>
    <x v="0"/>
    <s v="réparation d'eclairage et changement des lampes "/>
    <m/>
    <n v="120"/>
    <n v="120"/>
    <x v="592"/>
    <m/>
    <m/>
    <x v="0"/>
    <x v="0"/>
  </r>
  <r>
    <d v="2023-05-18T00:00:00"/>
    <x v="16"/>
    <x v="1"/>
    <x v="5"/>
    <x v="14"/>
    <m/>
    <s v="graissage du moteur "/>
    <s v="filtre a huile "/>
    <x v="0"/>
    <s v="changement du filtre a huile colmaté (marque adaptable )_x000a_raparation du fuite d'huile hydraulique _x000a_graissage et lavage genarale d'engin "/>
    <s v=" "/>
    <n v="570"/>
    <n v="570"/>
    <x v="593"/>
    <m/>
    <m/>
    <x v="0"/>
    <x v="0"/>
  </r>
  <r>
    <d v="2023-05-18T00:00:00"/>
    <x v="15"/>
    <x v="2"/>
    <x v="10"/>
    <x v="2"/>
    <m/>
    <s v="fuite des verin _x000a_"/>
    <s v="des kit réparation verin "/>
    <x v="0"/>
    <m/>
    <m/>
    <m/>
    <m/>
    <x v="57"/>
    <m/>
    <m/>
    <x v="0"/>
    <x v="0"/>
  </r>
  <r>
    <d v="2023-05-19T00:00:00"/>
    <x v="40"/>
    <x v="9"/>
    <x v="24"/>
    <x v="24"/>
    <m/>
    <s v="eclairage "/>
    <s v="optique avant "/>
    <x v="0"/>
    <s v="changemen du deux optique avant "/>
    <m/>
    <n v="240"/>
    <n v="240"/>
    <x v="594"/>
    <m/>
    <m/>
    <x v="0"/>
    <x v="0"/>
  </r>
  <r>
    <d v="2023-05-19T00:00:00"/>
    <x v="23"/>
    <x v="3"/>
    <x v="6"/>
    <x v="18"/>
    <m/>
    <s v="gasoil "/>
    <s v="reservoire de gasoil "/>
    <x v="0"/>
    <s v="changement du reservoire gasoil achat du laferaille "/>
    <m/>
    <n v="570"/>
    <n v="570"/>
    <x v="594"/>
    <m/>
    <m/>
    <x v="0"/>
    <x v="0"/>
  </r>
  <r>
    <d v="2023-05-20T00:00:00"/>
    <x v="7"/>
    <x v="1"/>
    <x v="5"/>
    <x v="7"/>
    <m/>
    <s v="Entretien"/>
    <s v="vidange"/>
    <x v="1"/>
    <s v="vidange d'hguile moteur et changement du filtrea gasoil et antigel _x000a_691000 km"/>
    <m/>
    <n v="240"/>
    <n v="240"/>
    <x v="594"/>
    <m/>
    <m/>
    <x v="0"/>
    <x v="0"/>
  </r>
  <r>
    <d v="2023-05-20T00:00:00"/>
    <x v="23"/>
    <x v="3"/>
    <x v="6"/>
    <x v="18"/>
    <m/>
    <s v="gasoil "/>
    <s v="reservoire de gasoil "/>
    <x v="0"/>
    <s v="changement du reservoire de gasoil _x000a_achat du laferaille _x000a_réparation et changement du fixation du reservoire "/>
    <m/>
    <n v="1140"/>
    <n v="1140"/>
    <x v="595"/>
    <m/>
    <m/>
    <x v="0"/>
    <x v="0"/>
  </r>
  <r>
    <d v="2023-05-22T00:00:00"/>
    <x v="20"/>
    <x v="1"/>
    <x v="6"/>
    <x v="17"/>
    <m/>
    <s v="refroidissement moteur"/>
    <s v="radiateur "/>
    <x v="0"/>
    <s v="dépose et pose du radiateur pour réparatiion a sté redouane radiateur _x000a_réparation du fuite d'air comprimé au niveau du venteuse de frein arriere "/>
    <m/>
    <n v="1140"/>
    <n v="1140"/>
    <x v="596"/>
    <m/>
    <m/>
    <x v="0"/>
    <x v="0"/>
  </r>
  <r>
    <d v="2023-05-23T00:00:00"/>
    <x v="16"/>
    <x v="1"/>
    <x v="5"/>
    <x v="14"/>
    <m/>
    <s v="fuite d'eau "/>
    <s v="pompe a eau "/>
    <x v="0"/>
    <s v="changement du pompe a eau "/>
    <m/>
    <n v="570"/>
    <n v="570"/>
    <x v="597"/>
    <m/>
    <m/>
    <x v="0"/>
    <x v="0"/>
  </r>
  <r>
    <d v="2023-05-25T00:00:00"/>
    <x v="20"/>
    <x v="1"/>
    <x v="6"/>
    <x v="17"/>
    <m/>
    <s v="fuite d'eau "/>
    <s v="radiateur "/>
    <x v="0"/>
    <s v="depose du radiateue pour réparé a ste redouane _x000a_"/>
    <m/>
    <n v="1140"/>
    <n v="1140"/>
    <x v="596"/>
    <m/>
    <m/>
    <x v="0"/>
    <x v="0"/>
  </r>
  <r>
    <d v="2023-05-25T00:00:00"/>
    <x v="16"/>
    <x v="1"/>
    <x v="5"/>
    <x v="14"/>
    <m/>
    <s v="fuite d'eau "/>
    <s v="pompe a eau "/>
    <x v="0"/>
    <s v="cangement du pompe a eau _x000a_réparation du fuite a air "/>
    <m/>
    <n v="1140"/>
    <n v="1140"/>
    <x v="598"/>
    <m/>
    <m/>
    <x v="0"/>
    <x v="0"/>
  </r>
  <r>
    <d v="2023-05-25T00:00:00"/>
    <x v="45"/>
    <x v="9"/>
    <x v="24"/>
    <x v="24"/>
    <m/>
    <s v="carosserie "/>
    <s v="pare brise avant "/>
    <x v="0"/>
    <s v="montage du plexyglace au lieu du pare brise avant "/>
    <m/>
    <n v="570"/>
    <n v="570"/>
    <x v="599"/>
    <m/>
    <m/>
    <x v="0"/>
    <x v="0"/>
  </r>
  <r>
    <d v="2023-05-27T00:00:00"/>
    <x v="4"/>
    <x v="1"/>
    <x v="3"/>
    <x v="4"/>
    <m/>
    <s v="fuite d'air "/>
    <s v="tuyau d'air "/>
    <x v="0"/>
    <s v="réparation du fuite d'air comprime _x000a_changement du klaxon 24 v baboucha"/>
    <m/>
    <n v="240"/>
    <n v="240"/>
    <x v="598"/>
    <m/>
    <m/>
    <x v="0"/>
    <x v="0"/>
  </r>
  <r>
    <d v="2023-05-27T00:00:00"/>
    <x v="4"/>
    <x v="1"/>
    <x v="3"/>
    <x v="4"/>
    <m/>
    <s v="signalisation "/>
    <s v="klaxon"/>
    <x v="0"/>
    <s v="changement du klaxon 24 v baboucha _x000a_réparation d'eclairage et changement des lampes "/>
    <m/>
    <n v="240"/>
    <n v="240"/>
    <x v="598"/>
    <m/>
    <m/>
    <x v="0"/>
    <x v="0"/>
  </r>
  <r>
    <d v="2023-05-27T00:00:00"/>
    <x v="23"/>
    <x v="3"/>
    <x v="6"/>
    <x v="18"/>
    <m/>
    <s v="fuite du gasoil "/>
    <s v="canal du gaszoil "/>
    <x v="0"/>
    <s v="réparation du fuite de gasoil "/>
    <m/>
    <n v="120"/>
    <n v="120"/>
    <x v="598"/>
    <m/>
    <m/>
    <x v="0"/>
    <x v="0"/>
  </r>
  <r>
    <d v="2023-05-27T00:00:00"/>
    <x v="4"/>
    <x v="1"/>
    <x v="3"/>
    <x v="4"/>
    <m/>
    <s v="des fuites d'air "/>
    <s v="klaxon"/>
    <x v="0"/>
    <s v="changement de klaxon _x000a_réparation des fuites d'air "/>
    <m/>
    <n v="240"/>
    <n v="240"/>
    <x v="598"/>
    <m/>
    <m/>
    <x v="0"/>
    <x v="0"/>
  </r>
  <r>
    <d v="2023-05-27T00:00:00"/>
    <x v="29"/>
    <x v="2"/>
    <x v="16"/>
    <x v="2"/>
    <m/>
    <s v="eclairage "/>
    <s v="des lampes "/>
    <x v="0"/>
    <s v="réparation d'eclairage et changement des lampes "/>
    <m/>
    <n v="120"/>
    <n v="120"/>
    <x v="598"/>
    <m/>
    <m/>
    <x v="0"/>
    <x v="0"/>
  </r>
  <r>
    <d v="2023-05-27T00:00:00"/>
    <x v="23"/>
    <x v="3"/>
    <x v="6"/>
    <x v="18"/>
    <m/>
    <s v="fuite dair "/>
    <s v="tecalent "/>
    <x v="0"/>
    <s v="réparation du fuite d'air "/>
    <m/>
    <n v="120"/>
    <n v="120"/>
    <x v="598"/>
    <m/>
    <m/>
    <x v="0"/>
    <x v="0"/>
  </r>
  <r>
    <d v="2023-05-28T00:00:00"/>
    <x v="1"/>
    <x v="1"/>
    <x v="1"/>
    <x v="1"/>
    <m/>
    <s v="pneu"/>
    <s v="usure"/>
    <x v="0"/>
    <s v="changement du quatre pneu ref 10R22,5 "/>
    <m/>
    <n v="570"/>
    <n v="570"/>
    <x v="600"/>
    <m/>
    <m/>
    <x v="0"/>
    <x v="0"/>
  </r>
  <r>
    <d v="2023-05-28T00:00:00"/>
    <x v="42"/>
    <x v="2"/>
    <x v="28"/>
    <x v="28"/>
    <m/>
    <s v="Entretien"/>
    <s v="mise a niveau"/>
    <x v="1"/>
    <s v="mise a niveau d'huile hydraulique"/>
    <m/>
    <n v="60"/>
    <n v="60"/>
    <x v="57"/>
    <m/>
    <m/>
    <x v="0"/>
    <x v="0"/>
  </r>
  <r>
    <d v="2023-05-30T00:00:00"/>
    <x v="10"/>
    <x v="1"/>
    <x v="8"/>
    <x v="10"/>
    <m/>
    <s v="Entretien"/>
    <s v="vidange "/>
    <x v="1"/>
    <s v="vidange d'huile moteur et changement du filtre a huile et filtre a gasoil _x000a_877000 km"/>
    <m/>
    <n v="120"/>
    <n v="120"/>
    <x v="601"/>
    <m/>
    <m/>
    <x v="0"/>
    <x v="0"/>
  </r>
  <r>
    <d v="2023-06-03T00:00:00"/>
    <x v="8"/>
    <x v="3"/>
    <x v="6"/>
    <x v="8"/>
    <m/>
    <s v="eclairage "/>
    <s v="des lampes "/>
    <x v="0"/>
    <s v="réparation d'eclairage et changement des lampes "/>
    <m/>
    <n v="240"/>
    <n v="240"/>
    <x v="602"/>
    <m/>
    <m/>
    <x v="0"/>
    <x v="0"/>
  </r>
  <r>
    <d v="2023-06-04T00:00:00"/>
    <x v="19"/>
    <x v="7"/>
    <x v="12"/>
    <x v="2"/>
    <m/>
    <s v="hydraulique"/>
    <s v="fuite d'huile"/>
    <x v="0"/>
    <s v="réparation du fuite d'huile hydraulique _x000a_soudage du flexible "/>
    <m/>
    <n v="420"/>
    <n v="420"/>
    <x v="603"/>
    <m/>
    <m/>
    <x v="0"/>
    <x v="0"/>
  </r>
  <r>
    <d v="2023-06-05T00:00:00"/>
    <x v="4"/>
    <x v="1"/>
    <x v="3"/>
    <x v="4"/>
    <m/>
    <s v="freinage"/>
    <s v="des plaquetyte de frein "/>
    <x v="0"/>
    <s v="réparation du probleme de freinage e changement de jeu de plaquette de frein  et des fiche d'usure plaquette "/>
    <m/>
    <n v="1140"/>
    <n v="1140"/>
    <x v="604"/>
    <m/>
    <m/>
    <x v="0"/>
    <x v="0"/>
  </r>
  <r>
    <d v="2023-06-05T00:00:00"/>
    <x v="12"/>
    <x v="3"/>
    <x v="3"/>
    <x v="12"/>
    <m/>
    <s v="fuite d'air "/>
    <s v="venteuse de cabine "/>
    <x v="0"/>
    <s v="changement du venteuse de cabine aarriere droit "/>
    <m/>
    <n v="240"/>
    <n v="240"/>
    <x v="605"/>
    <m/>
    <m/>
    <x v="0"/>
    <x v="0"/>
  </r>
  <r>
    <d v="2023-06-05T00:00:00"/>
    <x v="8"/>
    <x v="3"/>
    <x v="6"/>
    <x v="8"/>
    <m/>
    <s v="fuite d'air"/>
    <s v="tuyau d'air "/>
    <x v="0"/>
    <s v="changement du jeu detuyau spirale et deux jeu de main d'acoupplement _x000a_changement des cosses battrie _x000a_changement du phare secour "/>
    <m/>
    <n v="570"/>
    <n v="570"/>
    <x v="603"/>
    <m/>
    <m/>
    <x v="0"/>
    <x v="0"/>
  </r>
  <r>
    <d v="2023-06-05T00:00:00"/>
    <x v="46"/>
    <x v="19"/>
    <x v="24"/>
    <x v="24"/>
    <m/>
    <s v="pare brise "/>
    <s v="plexyglace "/>
    <x v="0"/>
    <s v="changement du plaque de plexyglace "/>
    <m/>
    <n v="570"/>
    <n v="570"/>
    <x v="605"/>
    <m/>
    <m/>
    <x v="0"/>
    <x v="0"/>
  </r>
  <r>
    <d v="2023-06-06T00:00:00"/>
    <x v="28"/>
    <x v="2"/>
    <x v="13"/>
    <x v="2"/>
    <m/>
    <s v="Entretien"/>
    <s v="vidange"/>
    <x v="0"/>
    <s v="vidange d'huile moteur et mise a niveau d'huile hydraulique "/>
    <m/>
    <n v="240"/>
    <n v="240"/>
    <x v="605"/>
    <m/>
    <m/>
    <x v="0"/>
    <x v="0"/>
  </r>
  <r>
    <d v="2023-06-07T00:00:00"/>
    <x v="8"/>
    <x v="3"/>
    <x v="6"/>
    <x v="8"/>
    <m/>
    <s v="Entretien"/>
    <s v="antigel"/>
    <x v="0"/>
    <s v="changement du liquide de refroidissement _x000a_antigel afriquia"/>
    <m/>
    <n v="240"/>
    <n v="240"/>
    <x v="604"/>
    <m/>
    <m/>
    <x v="0"/>
    <x v="0"/>
  </r>
  <r>
    <d v="2023-06-07T00:00:00"/>
    <x v="28"/>
    <x v="2"/>
    <x v="13"/>
    <x v="2"/>
    <m/>
    <s v="démarrage"/>
    <s v="des cosses battrie "/>
    <x v="0"/>
    <s v="changement du deux cosse battrie "/>
    <m/>
    <n v="60"/>
    <n v="60"/>
    <x v="604"/>
    <m/>
    <m/>
    <x v="0"/>
    <x v="0"/>
  </r>
  <r>
    <d v="2023-06-08T00:00:00"/>
    <x v="29"/>
    <x v="2"/>
    <x v="16"/>
    <x v="2"/>
    <m/>
    <s v="charge battrie "/>
    <s v="courroie"/>
    <x v="0"/>
    <s v="changement du courroie de charge battrie "/>
    <m/>
    <n v="60"/>
    <n v="60"/>
    <x v="606"/>
    <m/>
    <m/>
    <x v="0"/>
    <x v="0"/>
  </r>
  <r>
    <d v="2023-06-09T00:00:00"/>
    <x v="7"/>
    <x v="1"/>
    <x v="5"/>
    <x v="7"/>
    <m/>
    <s v="fuite d'huile hydraulique "/>
    <s v="flexible percé"/>
    <x v="0"/>
    <s v="changement du flexible percé _x000a_mise a niveau d'huile hydraulique aw 68 _x000a_105 l"/>
    <m/>
    <n v="1140"/>
    <n v="1140"/>
    <x v="607"/>
    <m/>
    <m/>
    <x v="0"/>
    <x v="0"/>
  </r>
  <r>
    <d v="2023-06-09T00:00:00"/>
    <x v="23"/>
    <x v="3"/>
    <x v="6"/>
    <x v="18"/>
    <m/>
    <s v="fuite d'air "/>
    <s v="venteuse de frein "/>
    <x v="0"/>
    <s v="changement du venteuse de frein "/>
    <m/>
    <n v="120"/>
    <n v="120"/>
    <x v="607"/>
    <m/>
    <m/>
    <x v="0"/>
    <x v="0"/>
  </r>
  <r>
    <d v="2023-06-10T00:00:00"/>
    <x v="10"/>
    <x v="1"/>
    <x v="8"/>
    <x v="10"/>
    <m/>
    <s v="fuite d'huile moteur"/>
    <s v="cartyer d'huile "/>
    <x v="2"/>
    <s v="réparation du probleme de fuite d'huile moteur au niveaucarter d'huile moteur_x000a_vidange dhuile moteur 15W40"/>
    <m/>
    <n v="1140"/>
    <n v="1140"/>
    <x v="608"/>
    <m/>
    <m/>
    <x v="0"/>
    <x v="0"/>
  </r>
  <r>
    <d v="2023-06-10T00:00:00"/>
    <x v="11"/>
    <x v="3"/>
    <x v="3"/>
    <x v="11"/>
    <m/>
    <s v="eclairage "/>
    <s v="des feu rouge "/>
    <x v="0"/>
    <s v="changement du deux feu rouge arriere gauche et droit _x000a_changement du bouchon adblue _x000a_changement du cbouchon reservoir gasoil "/>
    <m/>
    <n v="240"/>
    <n v="240"/>
    <x v="607"/>
    <m/>
    <m/>
    <x v="0"/>
    <x v="0"/>
  </r>
  <r>
    <d v="2023-06-17T00:00:00"/>
    <x v="27"/>
    <x v="0"/>
    <x v="0"/>
    <x v="21"/>
    <m/>
    <s v="Entretien"/>
    <s v="vidange"/>
    <x v="1"/>
    <s v="vidabge d'huile moteur et changemlent du filtre a _x000a_huile ref 1109AY_x000a_filktre a gasoil ref 9809721080_x000a_filtre a air ref 1444TV_x000a_huilr moteur 15w40 bidon 5litres _x000a_397000 km"/>
    <m/>
    <n v="120"/>
    <n v="120"/>
    <x v="609"/>
    <m/>
    <m/>
    <x v="0"/>
    <x v="0"/>
  </r>
  <r>
    <d v="2023-06-17T00:00:00"/>
    <x v="24"/>
    <x v="0"/>
    <x v="0"/>
    <x v="19"/>
    <m/>
    <s v="suspention"/>
    <s v="des rotules"/>
    <x v="0"/>
    <s v="réparation des element de suspention ,endommagé _x000a_changement du deux bielette de suspention deux amortisseur _x000a_jeu de plaquette de frein support moteur inferieure _x000a_silent bloc amortisseur  des triangle de suspoention _x000a_deux chappe de direction _x000a_roullement amortisseur "/>
    <m/>
    <n v="2280"/>
    <n v="2280"/>
    <x v="610"/>
    <m/>
    <m/>
    <x v="0"/>
    <x v="0"/>
  </r>
  <r>
    <d v="2023-06-17T00:00:00"/>
    <x v="0"/>
    <x v="0"/>
    <x v="0"/>
    <x v="0"/>
    <m/>
    <s v="suspention"/>
    <s v="des rotules"/>
    <x v="0"/>
    <s v="changement du cable de freina a main _x000a_changement deudeux master de frein arriere x_x000a_tondeur du courroie et courroie d'accessoires _x000a_"/>
    <m/>
    <n v="2280"/>
    <n v="2280"/>
    <x v="611"/>
    <m/>
    <m/>
    <x v="0"/>
    <x v="0"/>
  </r>
  <r>
    <d v="2023-06-17T00:00:00"/>
    <x v="16"/>
    <x v="1"/>
    <x v="5"/>
    <x v="14"/>
    <m/>
    <s v="direction"/>
    <s v="barre de direction "/>
    <x v="0"/>
    <s v="changement du barre de direction courte"/>
    <m/>
    <n v="120"/>
    <n v="120"/>
    <x v="612"/>
    <m/>
    <m/>
    <x v="0"/>
    <x v="0"/>
  </r>
  <r>
    <d v="2023-06-18T00:00:00"/>
    <x v="31"/>
    <x v="0"/>
    <x v="0"/>
    <x v="23"/>
    <m/>
    <s v="carosserie "/>
    <s v="peinture "/>
    <x v="0"/>
    <s v="painture du carosserie "/>
    <m/>
    <n v="2280"/>
    <n v="2280"/>
    <x v="613"/>
    <m/>
    <m/>
    <x v="0"/>
    <x v="0"/>
  </r>
  <r>
    <d v="2023-06-21T00:00:00"/>
    <x v="4"/>
    <x v="1"/>
    <x v="3"/>
    <x v="4"/>
    <m/>
    <s v="fuite d'air "/>
    <s v="dessicateur d'air "/>
    <x v="0"/>
    <s v="changement du dessicateur d'air comprimé et réparation du fuite d'air _x000a_"/>
    <m/>
    <n v="240"/>
    <n v="240"/>
    <x v="614"/>
    <m/>
    <m/>
    <x v="0"/>
    <x v="0"/>
  </r>
  <r>
    <d v="2023-06-22T00:00:00"/>
    <x v="4"/>
    <x v="1"/>
    <x v="3"/>
    <x v="4"/>
    <m/>
    <s v="Entretien"/>
    <s v="vidange "/>
    <x v="0"/>
    <s v="vidabnge d'huile moteur 15W40_x000a_404000 km"/>
    <m/>
    <n v="120"/>
    <n v="120"/>
    <x v="615"/>
    <m/>
    <m/>
    <x v="0"/>
    <x v="0"/>
  </r>
  <r>
    <d v="2023-06-23T00:00:00"/>
    <x v="19"/>
    <x v="7"/>
    <x v="12"/>
    <x v="2"/>
    <m/>
    <s v="fuite d'eau "/>
    <s v="pipe d'eau "/>
    <x v="0"/>
    <s v="changement du pipe d'eau"/>
    <m/>
    <n v="240"/>
    <n v="240"/>
    <x v="611"/>
    <m/>
    <m/>
    <x v="0"/>
    <x v="0"/>
  </r>
  <r>
    <d v="2023-07-05T00:00:00"/>
    <x v="8"/>
    <x v="3"/>
    <x v="6"/>
    <x v="8"/>
    <m/>
    <s v="fuite d'huile "/>
    <s v="refrigerant du moteur "/>
    <x v="0"/>
    <s v="réparation du fuite au niveau du refrigerant moteur "/>
    <m/>
    <n v="570"/>
    <n v="570"/>
    <x v="616"/>
    <m/>
    <m/>
    <x v="0"/>
    <x v="0"/>
  </r>
  <r>
    <d v="2023-07-05T00:00:00"/>
    <x v="29"/>
    <x v="2"/>
    <x v="16"/>
    <x v="2"/>
    <m/>
    <s v="fuite d'eau "/>
    <s v="pompe a eau"/>
    <x v="0"/>
    <s v="changement du pompe a eau et pipe d'eau _x000a_changement du poulie de pompe a eau"/>
    <m/>
    <n v="2240"/>
    <n v="2240"/>
    <x v="617"/>
    <m/>
    <m/>
    <x v="0"/>
    <x v="0"/>
  </r>
  <r>
    <d v="2023-07-06T00:00:00"/>
    <x v="5"/>
    <x v="3"/>
    <x v="3"/>
    <x v="5"/>
    <m/>
    <s v="fuite d'air "/>
    <s v="tuyau d'air "/>
    <x v="0"/>
    <s v="changement du tuyau d'air _x000a_et des prise d'air "/>
    <m/>
    <n v="120"/>
    <n v="120"/>
    <x v="618"/>
    <m/>
    <m/>
    <x v="0"/>
    <x v="0"/>
  </r>
  <r>
    <d v="2023-07-10T00:00:00"/>
    <x v="23"/>
    <x v="3"/>
    <x v="6"/>
    <x v="18"/>
    <m/>
    <s v="démarrage "/>
    <s v="des cosse battrie "/>
    <x v="0"/>
    <s v="changemendes cosses battrie "/>
    <m/>
    <n v="120"/>
    <n v="120"/>
    <x v="607"/>
    <m/>
    <m/>
    <x v="0"/>
    <x v="0"/>
  </r>
  <r>
    <d v="2023-07-10T00:00:00"/>
    <x v="12"/>
    <x v="3"/>
    <x v="3"/>
    <x v="12"/>
    <m/>
    <s v="Entretien"/>
    <s v="vidange"/>
    <x v="0"/>
    <s v="vidange d'huile moteur 15w40 _x000a_80500km"/>
    <m/>
    <n v="120"/>
    <n v="120"/>
    <x v="607"/>
    <m/>
    <m/>
    <x v="0"/>
    <x v="0"/>
  </r>
  <r>
    <d v="2023-07-10T00:00:00"/>
    <x v="23"/>
    <x v="3"/>
    <x v="6"/>
    <x v="18"/>
    <m/>
    <s v="freinage "/>
    <s v="garniture de frein "/>
    <x v="0"/>
    <s v="réparation du probleme de freinage et changement du jeu de garniture de frein _x000a_et quatre came de reglage frein _x000a_ressort de rappele came de frein _x000a_"/>
    <m/>
    <n v="3420"/>
    <n v="3420"/>
    <x v="619"/>
    <m/>
    <m/>
    <x v="0"/>
    <x v="0"/>
  </r>
  <r>
    <d v="2023-07-12T00:00:00"/>
    <x v="7"/>
    <x v="1"/>
    <x v="5"/>
    <x v="7"/>
    <m/>
    <s v="freinage"/>
    <s v="garniture de frein "/>
    <x v="0"/>
    <s v="réparation deu freinage et changement du deux jeu de garniture de frein et arrét de graisse moyeu _x000a_changement du mecanisme de leve glace cote gauche _x000a_changement des arrét de graisse moyeu_x000a_changement d'appareille de frein _x000a_graisse des moyeu et mecanisme de leve glace "/>
    <m/>
    <n v="1720"/>
    <n v="1720"/>
    <x v="620"/>
    <m/>
    <m/>
    <x v="0"/>
    <x v="0"/>
  </r>
  <r>
    <d v="2023-07-13T00:00:00"/>
    <x v="3"/>
    <x v="1"/>
    <x v="3"/>
    <x v="3"/>
    <m/>
    <s v="eclairage "/>
    <s v="des lampes "/>
    <x v="0"/>
    <s v="réparation d'eclairtage et changement des alampes "/>
    <m/>
    <n v="240"/>
    <n v="240"/>
    <x v="620"/>
    <m/>
    <m/>
    <x v="0"/>
    <x v="0"/>
  </r>
  <r>
    <d v="2023-07-15T00:00:00"/>
    <x v="12"/>
    <x v="3"/>
    <x v="3"/>
    <x v="12"/>
    <m/>
    <s v="Entretien"/>
    <s v="vidange"/>
    <x v="1"/>
    <s v="vidange d'huuile moteur et changement des filtre a huile et filtre aair et filtre a gasoil _x000a_"/>
    <m/>
    <n v="240"/>
    <n v="240"/>
    <x v="619"/>
    <m/>
    <m/>
    <x v="0"/>
    <x v="0"/>
  </r>
  <r>
    <d v="2023-07-17T00:00:00"/>
    <x v="15"/>
    <x v="2"/>
    <x v="10"/>
    <x v="2"/>
    <m/>
    <s v="moteur"/>
    <s v="moteur endommage"/>
    <x v="0"/>
    <s v="changementr du moteur thermique achat d'occasion "/>
    <m/>
    <n v="8550"/>
    <n v="8550"/>
    <x v="621"/>
    <m/>
    <m/>
    <x v="0"/>
    <x v="0"/>
  </r>
  <r>
    <d v="2023-07-18T00:00:00"/>
    <x v="11"/>
    <x v="3"/>
    <x v="3"/>
    <x v="11"/>
    <m/>
    <s v="Entretien"/>
    <s v="vidange "/>
    <x v="1"/>
    <s v="vidage d'huile moteur et changement des filtre a huile et filtre a gasoil "/>
    <m/>
    <n v="240"/>
    <n v="240"/>
    <x v="622"/>
    <m/>
    <m/>
    <x v="0"/>
    <x v="0"/>
  </r>
  <r>
    <d v="2023-07-20T00:00:00"/>
    <x v="20"/>
    <x v="1"/>
    <x v="6"/>
    <x v="17"/>
    <m/>
    <s v="démarrage "/>
    <s v="electrique "/>
    <x v="1"/>
    <s v="réparation du probleme electrique et changement des fil "/>
    <m/>
    <n v="570"/>
    <n v="570"/>
    <x v="623"/>
    <m/>
    <m/>
    <x v="0"/>
    <x v="0"/>
  </r>
  <r>
    <d v="2023-07-24T00:00:00"/>
    <x v="2"/>
    <x v="2"/>
    <x v="2"/>
    <x v="2"/>
    <m/>
    <s v="monte charge "/>
    <s v="galet de rampe "/>
    <x v="0"/>
    <s v="changment des galet de monte charge "/>
    <m/>
    <n v="240"/>
    <n v="240"/>
    <x v="624"/>
    <m/>
    <m/>
    <x v="0"/>
    <x v="0"/>
  </r>
  <r>
    <d v="2023-07-24T00:00:00"/>
    <x v="19"/>
    <x v="7"/>
    <x v="12"/>
    <x v="2"/>
    <m/>
    <s v="fuite d'huile "/>
    <s v="joint culasse "/>
    <x v="0"/>
    <s v="depose et pose du culasse pour changé leur jint et pochette roudage et des joint des injecteurs et jjoint du pipe d'eau "/>
    <m/>
    <n v="2850"/>
    <n v="2850"/>
    <x v="625"/>
    <m/>
    <m/>
    <x v="0"/>
    <x v="0"/>
  </r>
  <r>
    <d v="2023-07-24T00:00:00"/>
    <x v="11"/>
    <x v="3"/>
    <x v="3"/>
    <x v="11"/>
    <m/>
    <s v="eclairage "/>
    <s v="des lampes "/>
    <x v="0"/>
    <s v="changement du feu de signale avant droit _x000a_changemen du carte electronique pour feu de signale "/>
    <m/>
    <n v="1140"/>
    <n v="1140"/>
    <x v="626"/>
    <m/>
    <m/>
    <x v="0"/>
    <x v="0"/>
  </r>
  <r>
    <d v="2023-07-25T00:00:00"/>
    <x v="8"/>
    <x v="3"/>
    <x v="6"/>
    <x v="8"/>
    <m/>
    <s v="Entretien"/>
    <s v="vidange "/>
    <x v="1"/>
    <s v="vidange d'huile moteur et changement du fiiltre a huile et filtre a gasoil et filtre a air _x000a_lavage et graissage genarale d'engin _x000a_rééparatyion du fuiite a air "/>
    <m/>
    <n v="240"/>
    <n v="240"/>
    <x v="627"/>
    <m/>
    <m/>
    <x v="0"/>
    <x v="0"/>
  </r>
  <r>
    <d v="2023-07-27T00:00:00"/>
    <x v="3"/>
    <x v="1"/>
    <x v="3"/>
    <x v="3"/>
    <m/>
    <s v="leve glace "/>
    <s v="moteur de leve glace "/>
    <x v="0"/>
    <s v="changement du moto leve glace coté droit _x000a_réparatio du fuite d'air "/>
    <m/>
    <n v="570"/>
    <n v="570"/>
    <x v="627"/>
    <m/>
    <m/>
    <x v="0"/>
    <x v="0"/>
  </r>
  <r>
    <d v="2023-07-28T00:00:00"/>
    <x v="23"/>
    <x v="3"/>
    <x v="6"/>
    <x v="18"/>
    <m/>
    <s v="fuite d'air "/>
    <s v="venteuse de frein "/>
    <x v="2"/>
    <s v="changement du ventese de frein type 24 cpmlet _x000a_réparation des fuite d'air comprimé "/>
    <m/>
    <n v="570"/>
    <n v="570"/>
    <x v="628"/>
    <m/>
    <m/>
    <x v="0"/>
    <x v="0"/>
  </r>
  <r>
    <d v="2023-07-29T00:00:00"/>
    <x v="5"/>
    <x v="3"/>
    <x v="3"/>
    <x v="5"/>
    <m/>
    <s v="fuite d'appareille d'airt "/>
    <s v="appareille d'air "/>
    <x v="0"/>
    <s v="changement d'appareille d'air de frein "/>
    <m/>
    <n v="570"/>
    <n v="570"/>
    <x v="629"/>
    <m/>
    <m/>
    <x v="0"/>
    <x v="0"/>
  </r>
  <r>
    <d v="2023-08-01T00:00:00"/>
    <x v="10"/>
    <x v="1"/>
    <x v="8"/>
    <x v="10"/>
    <m/>
    <s v="freinage "/>
    <s v="etrier de frein "/>
    <x v="0"/>
    <s v="changement du deux etrier de frein d'essieu avant "/>
    <m/>
    <n v="2280"/>
    <n v="3420"/>
    <x v="630"/>
    <m/>
    <m/>
    <x v="0"/>
    <x v="0"/>
  </r>
  <r>
    <d v="2023-08-01T00:00:00"/>
    <x v="0"/>
    <x v="0"/>
    <x v="0"/>
    <x v="0"/>
    <m/>
    <s v="carosserie "/>
    <s v="peinture "/>
    <x v="0"/>
    <s v="peinture des cotés pourée "/>
    <m/>
    <n v="5700"/>
    <n v="5700"/>
    <x v="631"/>
    <m/>
    <m/>
    <x v="0"/>
    <x v="0"/>
  </r>
  <r>
    <d v="2023-08-02T00:00:00"/>
    <x v="4"/>
    <x v="1"/>
    <x v="3"/>
    <x v="4"/>
    <m/>
    <s v="electronique "/>
    <s v="diagnostique "/>
    <x v="0"/>
    <s v="diagnostique et réparation du probleme electronique dinjaction ADBLUE"/>
    <m/>
    <n v="2280"/>
    <n v="2280"/>
    <x v="630"/>
    <m/>
    <m/>
    <x v="0"/>
    <x v="0"/>
  </r>
  <r>
    <d v="2023-08-03T00:00:00"/>
    <x v="23"/>
    <x v="3"/>
    <x v="6"/>
    <x v="18"/>
    <m/>
    <s v="electronique "/>
    <s v="diagnostique "/>
    <x v="0"/>
    <s v="diagnostique et réparation du probleme du boite a vitesse "/>
    <m/>
    <n v="570"/>
    <n v="570"/>
    <x v="632"/>
    <m/>
    <m/>
    <x v="0"/>
    <x v="0"/>
  </r>
  <r>
    <d v="2023-08-03T00:00:00"/>
    <x v="5"/>
    <x v="3"/>
    <x v="3"/>
    <x v="5"/>
    <m/>
    <s v="fuite d'air comprimée "/>
    <s v="appareille d'air "/>
    <x v="0"/>
    <s v="réparation des probleme de fuite d'air comprimé changement du pompe d'embrayage interieur et sup"/>
    <m/>
    <n v="1140"/>
    <n v="1140"/>
    <x v="633"/>
    <m/>
    <m/>
    <x v="0"/>
    <x v="0"/>
  </r>
  <r>
    <d v="2023-08-06T00:00:00"/>
    <x v="15"/>
    <x v="2"/>
    <x v="10"/>
    <x v="2"/>
    <m/>
    <s v="moteur thermique "/>
    <s v="moiteur endommage "/>
    <x v="0"/>
    <s v="changement du moiteur thermique (achat du laferaille )_x000a_elimination des fuite d'huile hydraulique _x000a_réparation des probleme electrique démarrage et eclairage"/>
    <m/>
    <n v="11250"/>
    <n v="11250"/>
    <x v="634"/>
    <m/>
    <m/>
    <x v="0"/>
    <x v="0"/>
  </r>
  <r>
    <d v="2023-08-08T00:00:00"/>
    <x v="13"/>
    <x v="1"/>
    <x v="5"/>
    <x v="13"/>
    <m/>
    <s v="freinage "/>
    <s v="des garniture de frein "/>
    <x v="0"/>
    <s v="changement des garniture de frein _x000a_chanagement des arrét de graisse moyeu_x000a_changeent des master de frein avant et arrier coté gauche _x000a_changement du kit d'embrayage complet "/>
    <m/>
    <n v="5700"/>
    <n v="570"/>
    <x v="635"/>
    <m/>
    <m/>
    <x v="0"/>
    <x v="0"/>
  </r>
  <r>
    <d v="2023-08-10T00:00:00"/>
    <x v="17"/>
    <x v="5"/>
    <x v="11"/>
    <x v="15"/>
    <m/>
    <s v="suspention"/>
    <s v="des amortisseurs"/>
    <x v="0"/>
    <s v="changement du deux amortisseur avant "/>
    <m/>
    <n v="1140"/>
    <n v="1140"/>
    <x v="636"/>
    <m/>
    <m/>
    <x v="0"/>
    <x v="0"/>
  </r>
  <r>
    <d v="2023-08-11T00:00:00"/>
    <x v="7"/>
    <x v="1"/>
    <x v="5"/>
    <x v="7"/>
    <m/>
    <s v="fuite d'huile moteur "/>
    <s v="arrét d'huuile moteur"/>
    <x v="0"/>
    <s v="changement d'arrét d'huile moteur coté volant moteur _x000a_"/>
    <m/>
    <n v="1140"/>
    <n v="1140"/>
    <x v="636"/>
    <m/>
    <m/>
    <x v="0"/>
    <x v="0"/>
  </r>
  <r>
    <d v="2023-08-15T00:00:00"/>
    <x v="20"/>
    <x v="1"/>
    <x v="6"/>
    <x v="17"/>
    <m/>
    <s v="bruit anormale  "/>
    <s v="arbre prim BV"/>
    <x v="0"/>
    <s v="dépose et pose du bv pour réctifier d'arbre de boite a vitess primaire "/>
    <m/>
    <n v="5700"/>
    <n v="5700"/>
    <x v="637"/>
    <m/>
    <m/>
    <x v="0"/>
    <x v="0"/>
  </r>
  <r>
    <d v="2023-08-22T00:00:00"/>
    <x v="4"/>
    <x v="1"/>
    <x v="3"/>
    <x v="4"/>
    <m/>
    <s v="fuite d'air "/>
    <s v="cerveau dembrayage  "/>
    <x v="0"/>
    <s v="changement du cerveau d'embrayage "/>
    <m/>
    <n v="570"/>
    <n v="570"/>
    <x v="634"/>
    <m/>
    <m/>
    <x v="0"/>
    <x v="0"/>
  </r>
  <r>
    <d v="2023-08-23T00:00:00"/>
    <x v="8"/>
    <x v="3"/>
    <x v="6"/>
    <x v="8"/>
    <m/>
    <s v="fuite d'air comprimée "/>
    <s v="venteuse du cabine "/>
    <x v="0"/>
    <s v="changement du venteuse de cabine et klaxon "/>
    <m/>
    <n v="570"/>
    <n v="570"/>
    <x v="634"/>
    <m/>
    <m/>
    <x v="0"/>
    <x v="0"/>
  </r>
  <r>
    <d v="2023-08-25T00:00:00"/>
    <x v="29"/>
    <x v="2"/>
    <x v="16"/>
    <x v="2"/>
    <m/>
    <s v="fuite d'eau "/>
    <s v="durite d'eau "/>
    <x v="0"/>
    <s v="changement du durite de liquide de refroidissement"/>
    <m/>
    <n v="2280"/>
    <n v="2280"/>
    <x v="638"/>
    <m/>
    <m/>
    <x v="0"/>
    <x v="0"/>
  </r>
  <r>
    <d v="2023-08-29T00:00:00"/>
    <x v="18"/>
    <x v="1"/>
    <x v="5"/>
    <x v="16"/>
    <m/>
    <s v="fuite d'huile "/>
    <s v="pompe d'eambrayage "/>
    <x v="0"/>
    <s v="changement du pompe de'embrayage superieure"/>
    <m/>
    <n v="1710"/>
    <n v="1710"/>
    <x v="639"/>
    <m/>
    <m/>
    <x v="0"/>
    <x v="0"/>
  </r>
  <r>
    <d v="2023-09-01T00:00:00"/>
    <x v="8"/>
    <x v="3"/>
    <x v="6"/>
    <x v="8"/>
    <m/>
    <s v="electronique "/>
    <s v="diagnostique "/>
    <x v="0"/>
    <s v="réparation du probleme de diagnostique electronique"/>
    <m/>
    <n v="3420"/>
    <n v="3420"/>
    <x v="640"/>
    <m/>
    <m/>
    <x v="0"/>
    <x v="0"/>
  </r>
  <r>
    <d v="2023-09-01T00:00:00"/>
    <x v="20"/>
    <x v="1"/>
    <x v="6"/>
    <x v="17"/>
    <m/>
    <s v="electronique "/>
    <s v="diagnostique "/>
    <x v="0"/>
    <s v="réparation du probleme d'arrét moteur "/>
    <m/>
    <n v="3990"/>
    <n v="3990"/>
    <x v="641"/>
    <m/>
    <m/>
    <x v="0"/>
    <x v="0"/>
  </r>
  <r>
    <d v="2023-09-03T00:00:00"/>
    <x v="29"/>
    <x v="2"/>
    <x v="16"/>
    <x v="2"/>
    <m/>
    <s v="refroidissement "/>
    <s v="pompe a eau "/>
    <x v="0"/>
    <s v="changement du pompe a eau "/>
    <m/>
    <n v="5700"/>
    <n v="5700"/>
    <x v="642"/>
    <m/>
    <m/>
    <x v="0"/>
    <x v="0"/>
  </r>
  <r>
    <d v="2023-09-05T00:00:00"/>
    <x v="7"/>
    <x v="1"/>
    <x v="5"/>
    <x v="7"/>
    <m/>
    <s v="gasoil "/>
    <s v="pompe a gasoil "/>
    <x v="0"/>
    <s v="changement d'arrét dhuile moteur arriere _x000a_tarage et réparation du pompe a gasoil _x000a_changement du collecteur d'admission "/>
    <m/>
    <n v="2852"/>
    <n v="2850"/>
    <x v="641"/>
    <m/>
    <m/>
    <x v="0"/>
    <x v="0"/>
  </r>
  <r>
    <d v="2023-09-12T00:00:00"/>
    <x v="13"/>
    <x v="1"/>
    <x v="5"/>
    <x v="13"/>
    <m/>
    <s v="refroidissement "/>
    <s v="radiateur "/>
    <x v="0"/>
    <s v="réparation et débouchage du radiateur de refroidisement _x000a_déboouchage du cirucit de refroidissement "/>
    <m/>
    <n v="1140"/>
    <n v="1140"/>
    <x v="642"/>
    <m/>
    <m/>
    <x v="0"/>
    <x v="0"/>
  </r>
  <r>
    <d v="2023-09-18T00:00:00"/>
    <x v="1"/>
    <x v="1"/>
    <x v="1"/>
    <x v="1"/>
    <m/>
    <s v="embrayage "/>
    <s v="disque d'embrayage "/>
    <x v="0"/>
    <s v="dépose du bv pour changé leur kit d'embrayage complet et réparation des probleme de freinage et changement des garniture de freinb et des master de frein avant et achat du boiote de vitesse complet chat du bon occasion "/>
    <m/>
    <n v="5700"/>
    <n v="5700"/>
    <x v="643"/>
    <m/>
    <m/>
    <x v="0"/>
    <x v="0"/>
  </r>
  <r>
    <d v="2023-09-22T00:00:00"/>
    <x v="20"/>
    <x v="1"/>
    <x v="6"/>
    <x v="17"/>
    <m/>
    <s v="suspention"/>
    <s v="des ressort a lame "/>
    <x v="0"/>
    <s v="réparation des element de suspention "/>
    <m/>
    <n v="1140"/>
    <n v="1140"/>
    <x v="644"/>
    <m/>
    <m/>
    <x v="0"/>
    <x v="0"/>
  </r>
  <r>
    <d v="2023-09-26T00:00:00"/>
    <x v="4"/>
    <x v="1"/>
    <x v="3"/>
    <x v="4"/>
    <m/>
    <s v="electronique "/>
    <s v="probleme d'ABS"/>
    <x v="0"/>
    <s v="réparation du probleme d'abs "/>
    <m/>
    <n v="3420"/>
    <n v="3420"/>
    <x v="645"/>
    <m/>
    <m/>
    <x v="0"/>
    <x v="0"/>
  </r>
  <r>
    <d v="2023-10-01T00:00:00"/>
    <x v="30"/>
    <x v="20"/>
    <x v="24"/>
    <x v="24"/>
    <m/>
    <s v="suspention"/>
    <s v="des chappes de direction "/>
    <x v="0"/>
    <s v="changement des chappe de direction _x000a_vidange d'huile moteur et changement des filtres a nhuile "/>
    <m/>
    <n v="3420"/>
    <n v="3420"/>
    <x v="646"/>
    <m/>
    <m/>
    <x v="0"/>
    <x v="0"/>
  </r>
  <r>
    <d v="2023-10-02T00:00:00"/>
    <x v="10"/>
    <x v="1"/>
    <x v="8"/>
    <x v="10"/>
    <m/>
    <s v="freinage"/>
    <s v="des plaquette de fren"/>
    <x v="0"/>
    <s v="réglage du jeu de plaquette defrein "/>
    <m/>
    <n v="1140"/>
    <n v="1140"/>
    <x v="647"/>
    <m/>
    <m/>
    <x v="0"/>
    <x v="0"/>
  </r>
  <r>
    <d v="2023-10-04T00:00:00"/>
    <x v="23"/>
    <x v="3"/>
    <x v="6"/>
    <x v="18"/>
    <m/>
    <s v="electronique "/>
    <s v="diagnostique "/>
    <x v="0"/>
    <s v="déplacement a ste EFAMAR pour diagnostique et réparation du probleme de selection vitesse "/>
    <m/>
    <n v="57000"/>
    <n v="5700"/>
    <x v="648"/>
    <m/>
    <m/>
    <x v="0"/>
    <x v="0"/>
  </r>
  <r>
    <d v="2023-10-04T00:00:00"/>
    <x v="20"/>
    <x v="1"/>
    <x v="6"/>
    <x v="17"/>
    <m/>
    <s v="prob electrique "/>
    <s v="arrét moteur"/>
    <x v="0"/>
    <s v="réparation du probleme d'arret moteur"/>
    <m/>
    <n v="1140"/>
    <n v="1140"/>
    <x v="649"/>
    <m/>
    <m/>
    <x v="0"/>
    <x v="0"/>
  </r>
  <r>
    <d v="2023-10-05T00:00:00"/>
    <x v="3"/>
    <x v="1"/>
    <x v="3"/>
    <x v="3"/>
    <m/>
    <s v="freinage "/>
    <s v="des plaquette defrein "/>
    <x v="0"/>
    <s v="changemen,t du jeu de plaquette de frein "/>
    <m/>
    <n v="1140"/>
    <n v="1140"/>
    <x v="650"/>
    <m/>
    <m/>
    <x v="0"/>
    <x v="0"/>
  </r>
  <r>
    <d v="2023-10-05T00:00:00"/>
    <x v="39"/>
    <x v="7"/>
    <x v="12"/>
    <x v="2"/>
    <m/>
    <s v="electronique "/>
    <s v="démarrage "/>
    <x v="0"/>
    <s v="changement du deux battries de démarrage 12v"/>
    <m/>
    <n v="120"/>
    <n v="121"/>
    <x v="649"/>
    <m/>
    <m/>
    <x v="0"/>
    <x v="0"/>
  </r>
  <r>
    <d v="2023-10-05T00:00:00"/>
    <x v="3"/>
    <x v="1"/>
    <x v="3"/>
    <x v="3"/>
    <m/>
    <s v="pneu"/>
    <s v="usure"/>
    <x v="0"/>
    <s v="changement du pnu ref 315/80r22,5_x000a_paralellisme d'essieu avant "/>
    <m/>
    <n v="570"/>
    <n v="570"/>
    <x v="649"/>
    <m/>
    <m/>
    <x v="0"/>
    <x v="0"/>
  </r>
  <r>
    <d v="2023-10-05T00:00:00"/>
    <x v="8"/>
    <x v="3"/>
    <x v="6"/>
    <x v="8"/>
    <m/>
    <s v="electronique "/>
    <s v="diagnostique "/>
    <x v="0"/>
    <s v="déplacement du camion a ste SEFAMARpour un diagnoistique electronique"/>
    <m/>
    <n v="1710"/>
    <n v="1710"/>
    <x v="651"/>
    <m/>
    <m/>
    <x v="0"/>
    <x v="0"/>
  </r>
  <r>
    <d v="2023-10-06T00:00:00"/>
    <x v="22"/>
    <x v="2"/>
    <x v="14"/>
    <x v="2"/>
    <m/>
    <s v="moteur"/>
    <s v="ususre des pieces "/>
    <x v="0"/>
    <s v="mise a nouveau du moteur et changement des quatre piston et jeu des segment _x000a_changemlent du ompe a eau _x000a_changement de refrigerant d&quot;huile moteur _x000a_ débouchage du radiateru _x000a_battrie de démarrage "/>
    <m/>
    <n v="11400"/>
    <n v="11400"/>
    <x v="652"/>
    <m/>
    <m/>
    <x v="0"/>
    <x v="0"/>
  </r>
  <r>
    <d v="2023-10-06T00:00:00"/>
    <x v="16"/>
    <x v="1"/>
    <x v="5"/>
    <x v="14"/>
    <m/>
    <s v="boite a vitesse "/>
    <s v="arbre primaire "/>
    <x v="0"/>
    <s v="sortie a safi pour déppanage du camion et changement du arbre primaire du boite a vitesse et des roullement _x000a_changement du kit d'embrayage _x000a_des a&amp;rrét d'huile moteur "/>
    <m/>
    <n v="1710"/>
    <n v="1710"/>
    <x v="653"/>
    <m/>
    <m/>
    <x v="0"/>
    <x v="0"/>
  </r>
  <r>
    <d v="2023-10-10T00:00:00"/>
    <x v="1"/>
    <x v="1"/>
    <x v="1"/>
    <x v="1"/>
    <m/>
    <s v="freinage "/>
    <s v="des garnitures de frein "/>
    <x v="0"/>
    <s v="changement du deux jeu de garniture de frein et quetre master de frein avant _x000a_changement du boiite a vitesse chat du laferaille _x000a_changemen du kit d'mbrayage complet _x000a_changeent des arrét de graisse moyeu et des master de frein arriére _x000a_"/>
    <m/>
    <n v="14810"/>
    <n v="14810"/>
    <x v="654"/>
    <m/>
    <m/>
    <x v="0"/>
    <x v="0"/>
  </r>
  <r>
    <d v="2023-10-11T00:00:00"/>
    <x v="2"/>
    <x v="2"/>
    <x v="2"/>
    <x v="2"/>
    <m/>
    <s v="electronique "/>
    <s v="diagnostique "/>
    <x v="0"/>
    <s v="diagnostique electronique et changement des joystick de levier distributeur hydraulique "/>
    <m/>
    <n v="5700"/>
    <n v="5700"/>
    <x v="655"/>
    <m/>
    <m/>
    <x v="0"/>
    <x v="0"/>
  </r>
  <r>
    <d v="2023-10-11T00:00:00"/>
    <x v="23"/>
    <x v="3"/>
    <x v="6"/>
    <x v="18"/>
    <m/>
    <s v="embrayage "/>
    <s v="disque d'elmbrayage"/>
    <x v="0"/>
    <s v="changement du kit d'embrayage complet _x000a_changement du fourchette de  butee d'embrayage _x000a_changement du cerveau d'embrayage _x000a_et suuport butee"/>
    <m/>
    <n v="5130"/>
    <n v="5130"/>
    <x v="656"/>
    <m/>
    <m/>
    <x v="0"/>
    <x v="0"/>
  </r>
  <r>
    <d v="2023-10-12T00:00:00"/>
    <x v="32"/>
    <x v="2"/>
    <x v="2"/>
    <x v="2"/>
    <m/>
    <s v="courroie d'accessoire "/>
    <m/>
    <x v="0"/>
    <s v="changement du courroie d'accessoires "/>
    <m/>
    <n v="570"/>
    <n v="570"/>
    <x v="657"/>
    <m/>
    <m/>
    <x v="0"/>
    <x v="0"/>
  </r>
  <r>
    <d v="2023-10-15T00:00:00"/>
    <x v="31"/>
    <x v="0"/>
    <x v="0"/>
    <x v="23"/>
    <m/>
    <s v="suspention"/>
    <s v="des amortisseurs"/>
    <x v="0"/>
    <s v="changement du deux amortisseurs avant _x000a_changement du deux amortisseur arriere _x000a_vidange d'huile moteur et changemlent du filtre a huoi et filtre a gasoil _x000a_et filtre a gasoil "/>
    <m/>
    <n v="3420"/>
    <n v="3420"/>
    <x v="658"/>
    <m/>
    <m/>
    <x v="0"/>
    <x v="0"/>
  </r>
  <r>
    <d v="2023-10-16T00:00:00"/>
    <x v="19"/>
    <x v="7"/>
    <x v="12"/>
    <x v="2"/>
    <m/>
    <s v="hydraulique"/>
    <s v="duritte hydraulique"/>
    <x v="0"/>
    <s v="changement du durite hydraulkique"/>
    <m/>
    <n v="1710"/>
    <n v="1710"/>
    <x v="659"/>
    <m/>
    <m/>
    <x v="0"/>
    <x v="0"/>
  </r>
  <r>
    <d v="2023-10-16T00:00:00"/>
    <x v="11"/>
    <x v="3"/>
    <x v="3"/>
    <x v="11"/>
    <m/>
    <s v="suspention"/>
    <s v="des lames "/>
    <x v="0"/>
    <s v="réparation des element de suspention "/>
    <m/>
    <n v="1740"/>
    <n v="1740"/>
    <x v="660"/>
    <m/>
    <m/>
    <x v="0"/>
    <x v="0"/>
  </r>
  <r>
    <d v="2023-10-26T00:00:00"/>
    <x v="5"/>
    <x v="3"/>
    <x v="3"/>
    <x v="5"/>
    <m/>
    <s v="demarrage "/>
    <s v="contact de démarrage "/>
    <x v="0"/>
    <s v="changeùment du contact de démarrage et boule de levier de vitesse _x000a_des tomates "/>
    <m/>
    <n v="1710"/>
    <n v="1710"/>
    <x v="661"/>
    <m/>
    <m/>
    <x v="0"/>
    <x v="0"/>
  </r>
  <r>
    <d v="2023-10-27T00:00:00"/>
    <x v="23"/>
    <x v="3"/>
    <x v="6"/>
    <x v="18"/>
    <m/>
    <s v="reparation du fuite d'air "/>
    <s v="changement d'appareille d'air"/>
    <x v="0"/>
    <s v="changement d'appareille d'air "/>
    <m/>
    <n v="1140"/>
    <n v="1140"/>
    <x v="661"/>
    <m/>
    <m/>
    <x v="0"/>
    <x v="0"/>
  </r>
  <r>
    <d v="2023-11-01T00:00:00"/>
    <x v="11"/>
    <x v="3"/>
    <x v="3"/>
    <x v="11"/>
    <m/>
    <s v="electrique "/>
    <s v="eclairage "/>
    <x v="0"/>
    <s v="réparation d'eclairage et changement des lampes "/>
    <m/>
    <n v="240"/>
    <n v="240"/>
    <x v="662"/>
    <m/>
    <m/>
    <x v="0"/>
    <x v="0"/>
  </r>
  <r>
    <d v="2023-11-01T00:00:00"/>
    <x v="22"/>
    <x v="2"/>
    <x v="14"/>
    <x v="2"/>
    <m/>
    <s v="moteur "/>
    <s v="mise a nouveau"/>
    <x v="0"/>
    <s v="mise a nouveau du mteur thermique et changement des piston et guide soupppape et souppape _x000a_pompe a eau des joint plaque distribution et plaque distribution _x000a_refrgerant moteur complet _x000a_pochatte joint colmplet"/>
    <m/>
    <n v="14820"/>
    <n v="14820"/>
    <x v="663"/>
    <m/>
    <m/>
    <x v="0"/>
    <x v="0"/>
  </r>
  <r>
    <d v="2023-11-02T00:00:00"/>
    <x v="8"/>
    <x v="3"/>
    <x v="6"/>
    <x v="8"/>
    <m/>
    <s v="fuite d'air "/>
    <s v="tuyau percé "/>
    <x v="0"/>
    <s v="réparation du fuite d'air au niveau du venteuse de frein "/>
    <m/>
    <n v="120"/>
    <n v="120"/>
    <x v="664"/>
    <m/>
    <m/>
    <x v="0"/>
    <x v="0"/>
  </r>
  <r>
    <d v="2023-11-03T00:00:00"/>
    <x v="23"/>
    <x v="3"/>
    <x v="6"/>
    <x v="18"/>
    <m/>
    <s v="fuite d'air"/>
    <s v="venteuse de frein "/>
    <x v="0"/>
    <s v="changement des venteuse de frein arrire plateau _x000a_soudage des fissure au niveau du plateau"/>
    <m/>
    <n v="240"/>
    <n v="240"/>
    <x v="665"/>
    <m/>
    <m/>
    <x v="0"/>
    <x v="0"/>
  </r>
  <r>
    <d v="2023-11-07T00:00:00"/>
    <x v="8"/>
    <x v="3"/>
    <x v="6"/>
    <x v="8"/>
    <m/>
    <s v="freinage "/>
    <s v="fuite d'air "/>
    <x v="0"/>
    <s v="changement du venteuse de frein "/>
    <m/>
    <n v="240"/>
    <n v="240"/>
    <x v="666"/>
    <m/>
    <m/>
    <x v="0"/>
    <x v="0"/>
  </r>
  <r>
    <d v="2023-11-11T00:00:00"/>
    <x v="8"/>
    <x v="3"/>
    <x v="6"/>
    <x v="8"/>
    <m/>
    <s v="freinage "/>
    <s v="fuite d'air "/>
    <x v="0"/>
    <s v="changement du venteuse de frein "/>
    <m/>
    <n v="240"/>
    <n v="240"/>
    <x v="667"/>
    <m/>
    <m/>
    <x v="0"/>
    <x v="0"/>
  </r>
  <r>
    <d v="2023-11-15T00:00:00"/>
    <x v="10"/>
    <x v="1"/>
    <x v="8"/>
    <x v="10"/>
    <m/>
    <s v="moteur"/>
    <s v="pieces usee"/>
    <x v="0"/>
    <s v="changement du moteur thrmique achat du l'aferaille _x000a_changement du prefiltre a gasoil _x000a_des filtre a huile gasoil et air _x000a_vidange d'huile moteur _x000a_"/>
    <m/>
    <n v="8550"/>
    <n v="8550"/>
    <x v="663"/>
    <m/>
    <m/>
    <x v="0"/>
    <x v="0"/>
  </r>
  <r>
    <d v="2023-11-16T00:00:00"/>
    <x v="0"/>
    <x v="0"/>
    <x v="0"/>
    <x v="0"/>
    <m/>
    <s v="MOTEUR "/>
    <s v=" courroie "/>
    <x v="0"/>
    <s v="changemet du couroie d'ccessoires et des tondeur "/>
    <m/>
    <n v="570"/>
    <n v="570"/>
    <x v="668"/>
    <m/>
    <m/>
    <x v="0"/>
    <x v="0"/>
  </r>
  <r>
    <d v="2023-11-20T00:00:00"/>
    <x v="8"/>
    <x v="3"/>
    <x v="6"/>
    <x v="8"/>
    <m/>
    <s v="Entretien"/>
    <s v="vidange"/>
    <x v="0"/>
    <s v="vidange d'huile moteur "/>
    <m/>
    <n v="120"/>
    <n v="120"/>
    <x v="669"/>
    <m/>
    <m/>
    <x v="0"/>
    <x v="0"/>
  </r>
  <r>
    <d v="2023-11-21T00:00:00"/>
    <x v="13"/>
    <x v="1"/>
    <x v="5"/>
    <x v="13"/>
    <m/>
    <s v="Entretien"/>
    <s v="vidange"/>
    <x v="0"/>
    <s v="vidange d'huile moteur "/>
    <m/>
    <n v="60"/>
    <n v="60"/>
    <x v="670"/>
    <m/>
    <m/>
    <x v="0"/>
    <x v="0"/>
  </r>
  <r>
    <d v="2023-11-21T00:00:00"/>
    <x v="5"/>
    <x v="3"/>
    <x v="3"/>
    <x v="5"/>
    <m/>
    <s v="demarrage "/>
    <s v="contact de démarrage "/>
    <x v="0"/>
    <s v="changement du contact de démarrage 24 v _x000a_achat du laferaille "/>
    <m/>
    <n v="60"/>
    <n v="60"/>
    <x v="670"/>
    <m/>
    <m/>
    <x v="0"/>
    <x v="0"/>
  </r>
  <r>
    <d v="2023-11-21T00:00:00"/>
    <x v="12"/>
    <x v="3"/>
    <x v="3"/>
    <x v="12"/>
    <m/>
    <s v="elecrique "/>
    <s v="eclairage "/>
    <x v="0"/>
    <s v="réparation d'eclairage et changement des lampes "/>
    <m/>
    <n v="120"/>
    <n v="120"/>
    <x v="670"/>
    <m/>
    <m/>
    <x v="0"/>
    <x v="0"/>
  </r>
  <r>
    <d v="2023-11-22T00:00:00"/>
    <x v="38"/>
    <x v="0"/>
    <x v="25"/>
    <x v="25"/>
    <m/>
    <s v="Entretien"/>
    <s v="vidange"/>
    <x v="0"/>
    <s v="vidange d'huile moteur et changement des filtre a huile gasoil et filtre a air "/>
    <m/>
    <n v="120"/>
    <n v="120"/>
    <x v="671"/>
    <m/>
    <m/>
    <x v="0"/>
    <x v="0"/>
  </r>
  <r>
    <d v="2023-11-22T00:00:00"/>
    <x v="23"/>
    <x v="3"/>
    <x v="6"/>
    <x v="18"/>
    <m/>
    <s v="freinage"/>
    <s v="venteuse de frein "/>
    <x v="0"/>
    <s v="changement du trois venteuse de frein complet"/>
    <m/>
    <n v="570"/>
    <n v="570"/>
    <x v="671"/>
    <m/>
    <m/>
    <x v="0"/>
    <x v="0"/>
  </r>
  <r>
    <d v="2023-11-27T00:00:00"/>
    <x v="11"/>
    <x v="3"/>
    <x v="3"/>
    <x v="11"/>
    <m/>
    <s v="electrique "/>
    <s v="eclairrage"/>
    <x v="0"/>
    <s v="réparation du probleme electrique et changement de fiche prolongateur _x000a_vidabge d'huile moteur et graissage generale d'engin"/>
    <m/>
    <n v="240"/>
    <n v="240"/>
    <x v="672"/>
    <m/>
    <m/>
    <x v="0"/>
    <x v="0"/>
  </r>
  <r>
    <d v="2023-11-27T00:00:00"/>
    <x v="19"/>
    <x v="7"/>
    <x v="12"/>
    <x v="2"/>
    <m/>
    <s v="Entretien"/>
    <s v="vidange "/>
    <x v="1"/>
    <s v="vidange d'huile moteur et changement des filtre a huile gasoil et filtre a air "/>
    <m/>
    <n v="240"/>
    <n v="240"/>
    <x v="672"/>
    <m/>
    <m/>
    <x v="0"/>
    <x v="0"/>
  </r>
  <r>
    <d v="2023-11-29T00:00:00"/>
    <x v="11"/>
    <x v="3"/>
    <x v="3"/>
    <x v="11"/>
    <m/>
    <s v="Entretien"/>
    <s v="vidange"/>
    <x v="1"/>
    <s v="vidange d'huile moteur et changemant du filtre a huiile"/>
    <m/>
    <n v="120"/>
    <n v="120"/>
    <x v="673"/>
    <m/>
    <m/>
    <x v="0"/>
    <x v="0"/>
  </r>
  <r>
    <d v="2023-12-02T00:00:00"/>
    <x v="16"/>
    <x v="1"/>
    <x v="5"/>
    <x v="14"/>
    <m/>
    <s v="pneu"/>
    <s v="usure"/>
    <x v="0"/>
    <s v="changement du deux pneu ref 12R22,5"/>
    <m/>
    <n v="240"/>
    <n v="240"/>
    <x v="664"/>
    <m/>
    <m/>
    <x v="0"/>
    <x v="0"/>
  </r>
  <r>
    <d v="2023-12-05T00:00:00"/>
    <x v="32"/>
    <x v="2"/>
    <x v="2"/>
    <x v="2"/>
    <m/>
    <s v="moteur"/>
    <s v="huile moteur "/>
    <x v="0"/>
    <s v="changement du joint culasse _x000a_changement du refrigerant moteur et contrôle du culasse "/>
    <m/>
    <n v="5700"/>
    <n v="5700"/>
    <x v="674"/>
    <m/>
    <m/>
    <x v="0"/>
    <x v="0"/>
  </r>
  <r>
    <d v="2023-12-05T00:00:00"/>
    <x v="4"/>
    <x v="1"/>
    <x v="3"/>
    <x v="4"/>
    <m/>
    <s v="moteur"/>
    <s v="joint culasse "/>
    <x v="0"/>
    <s v="depose et pose du culasse pour changé leur joint _x000a_"/>
    <m/>
    <n v="5700"/>
    <n v="5700"/>
    <x v="675"/>
    <m/>
    <m/>
    <x v="0"/>
    <x v="0"/>
  </r>
  <r>
    <d v="2023-12-14T00:00:00"/>
    <x v="4"/>
    <x v="1"/>
    <x v="3"/>
    <x v="4"/>
    <m/>
    <s v="pneu"/>
    <s v="usure"/>
    <x v="0"/>
    <s v="changement du deux pneu ref 315/80R22,5 "/>
    <m/>
    <n v="120"/>
    <n v="120"/>
    <x v="676"/>
    <m/>
    <m/>
    <x v="0"/>
    <x v="0"/>
  </r>
  <r>
    <d v="2023-12-18T00:00:00"/>
    <x v="3"/>
    <x v="1"/>
    <x v="3"/>
    <x v="3"/>
    <m/>
    <s v="disque de frein "/>
    <s v="usure"/>
    <x v="0"/>
    <s v="changement du deux disque de frein arriere _x000a_changement du deux jeu de plaquette avant et arriere _x000a_changement des fiche d'usure plaquette de frein _x000a_"/>
    <m/>
    <n v="1140"/>
    <n v="1140"/>
    <x v="674"/>
    <m/>
    <m/>
    <x v="0"/>
    <x v="0"/>
  </r>
  <r>
    <d v="2023-12-20T00:00:00"/>
    <x v="9"/>
    <x v="5"/>
    <x v="7"/>
    <x v="9"/>
    <m/>
    <s v="carosserie "/>
    <s v="peinture "/>
    <x v="0"/>
    <s v="peinture des coté accidentée _x000a_changement du klaxon"/>
    <m/>
    <n v="5700"/>
    <n v="5700"/>
    <x v="677"/>
    <m/>
    <m/>
    <x v="0"/>
    <x v="0"/>
  </r>
  <r>
    <d v="2023-12-20T00:00:00"/>
    <x v="8"/>
    <x v="3"/>
    <x v="6"/>
    <x v="8"/>
    <m/>
    <s v="moyeu avant "/>
    <s v="usure "/>
    <x v="0"/>
    <s v="changement du moyeu de roue avant tracteur _x000a_avec jeu de garniture frein"/>
    <m/>
    <n v="2280"/>
    <n v="2280"/>
    <x v="678"/>
    <m/>
    <m/>
    <x v="0"/>
    <x v="0"/>
  </r>
  <r>
    <d v="2023-12-20T00:00:00"/>
    <x v="15"/>
    <x v="2"/>
    <x v="10"/>
    <x v="2"/>
    <m/>
    <s v="refroidissement"/>
    <s v="ventilateur de refroidissement"/>
    <x v="0"/>
    <s v="changement du ventilateur de refroidissement _x000a_changement du durite d'eau"/>
    <m/>
    <n v="2280"/>
    <n v="2280"/>
    <x v="678"/>
    <m/>
    <m/>
    <x v="0"/>
    <x v="0"/>
  </r>
  <r>
    <d v="2023-12-27T00:00:00"/>
    <x v="11"/>
    <x v="3"/>
    <x v="3"/>
    <x v="11"/>
    <m/>
    <s v="electrique "/>
    <s v="eclairagee"/>
    <x v="0"/>
    <s v="réparation d'eclairage etr changement des lampes"/>
    <m/>
    <n v="120"/>
    <n v="120"/>
    <x v="679"/>
    <m/>
    <m/>
    <x v="0"/>
    <x v="0"/>
  </r>
  <r>
    <d v="2023-12-28T00:00:00"/>
    <x v="27"/>
    <x v="0"/>
    <x v="0"/>
    <x v="21"/>
    <m/>
    <s v="embrayage "/>
    <s v="kit dembrayage usée "/>
    <x v="0"/>
    <s v="changement du kit d'embrayage et vidange d'huile moteur avec des filktres "/>
    <m/>
    <n v="1140"/>
    <n v="1140"/>
    <x v="680"/>
    <m/>
    <m/>
    <x v="0"/>
    <x v="0"/>
  </r>
  <r>
    <d v="2023-12-28T00:00:00"/>
    <x v="9"/>
    <x v="5"/>
    <x v="7"/>
    <x v="9"/>
    <m/>
    <s v="freinage"/>
    <s v="garniture de frein"/>
    <x v="0"/>
    <s v="achangement du eu de garniture de fein arriere "/>
    <m/>
    <n v="1140"/>
    <n v="1140"/>
    <x v="677"/>
    <m/>
    <m/>
    <x v="0"/>
    <x v="0"/>
  </r>
  <r>
    <d v="2024-01-01T00:00:00"/>
    <x v="5"/>
    <x v="3"/>
    <x v="3"/>
    <x v="5"/>
    <m/>
    <s v="Mecanique "/>
    <s v="cardon "/>
    <x v="0"/>
    <s v="changement du croisillon du cardon _x000a_reparation et elimination des fuites d'air _x000a_changement du boule de levier de vitesse "/>
    <n v="431"/>
    <n v="540"/>
    <n v="1080"/>
    <x v="681"/>
    <m/>
    <m/>
    <x v="0"/>
    <x v="0"/>
  </r>
  <r>
    <d v="2024-01-01T00:00:00"/>
    <x v="9"/>
    <x v="5"/>
    <x v="7"/>
    <x v="9"/>
    <m/>
    <s v="Mecanique "/>
    <s v="Freinage "/>
    <x v="3"/>
    <s v="changement de moyeu roue AV "/>
    <s v="3947/4233"/>
    <n v="360"/>
    <n v="1620"/>
    <x v="682"/>
    <m/>
    <m/>
    <x v="0"/>
    <x v="0"/>
  </r>
  <r>
    <d v="2024-01-02T00:00:00"/>
    <x v="4"/>
    <x v="1"/>
    <x v="3"/>
    <x v="4"/>
    <m/>
    <s v="mecanique "/>
    <s v="probleme au niveau du moteur  "/>
    <x v="0"/>
    <s v="depose et pose du culasse pour controler l'etat du culasse et changement du joint culasse"/>
    <n v="4105"/>
    <n v="1620"/>
    <n v="2700"/>
    <x v="683"/>
    <m/>
    <m/>
    <x v="0"/>
    <x v="0"/>
  </r>
  <r>
    <d v="2024-01-02T00:00:00"/>
    <x v="42"/>
    <x v="2"/>
    <x v="28"/>
    <x v="28"/>
    <m/>
    <s v="mecanique "/>
    <s v="fuite d'huile hyd"/>
    <x v="0"/>
    <s v="changement du flexible hydraulique "/>
    <s v="SRV"/>
    <n v="180"/>
    <n v="240"/>
    <x v="681"/>
    <m/>
    <m/>
    <x v="0"/>
    <x v="0"/>
  </r>
  <r>
    <d v="2024-01-02T00:00:00"/>
    <x v="22"/>
    <x v="2"/>
    <x v="14"/>
    <x v="2"/>
    <m/>
    <s v="Mecanique / Electrique "/>
    <s v="panne electrique "/>
    <x v="3"/>
    <s v="Reparation du probleme du marche AV/AR"/>
    <m/>
    <n v="120"/>
    <n v="1080"/>
    <x v="681"/>
    <m/>
    <m/>
    <x v="0"/>
    <x v="0"/>
  </r>
  <r>
    <d v="2024-01-02T00:00:00"/>
    <x v="6"/>
    <x v="4"/>
    <x v="4"/>
    <x v="6"/>
    <m/>
    <s v="mecanique "/>
    <s v="bruit au niveau du roue AV.D"/>
    <x v="3"/>
    <s v="Changement du moyeu du roue AV.D"/>
    <m/>
    <n v="2160"/>
    <n v="2160"/>
    <x v="681"/>
    <m/>
    <m/>
    <x v="1"/>
    <x v="1"/>
  </r>
  <r>
    <d v="2024-01-03T00:00:00"/>
    <x v="13"/>
    <x v="1"/>
    <x v="5"/>
    <x v="13"/>
    <m/>
    <s v="electrique "/>
    <s v="eclairage "/>
    <x v="0"/>
    <s v="Reparation d'eclairage et changement des lampes "/>
    <n v="4014"/>
    <n v="120"/>
    <n v="120"/>
    <x v="684"/>
    <m/>
    <m/>
    <x v="0"/>
    <x v="0"/>
  </r>
  <r>
    <d v="2024-01-03T00:00:00"/>
    <x v="22"/>
    <x v="2"/>
    <x v="14"/>
    <x v="2"/>
    <m/>
    <s v="mecanique "/>
    <s v="refroidissement moteur "/>
    <x v="0"/>
    <s v="Changement du radiateur _x000a_changement de liquide refroidissement "/>
    <n v="4108"/>
    <n v="480"/>
    <n v="2700"/>
    <x v="685"/>
    <m/>
    <m/>
    <x v="0"/>
    <x v="0"/>
  </r>
  <r>
    <d v="2024-01-03T00:00:00"/>
    <x v="11"/>
    <x v="3"/>
    <x v="3"/>
    <x v="11"/>
    <m/>
    <s v="mecanique "/>
    <s v="pneus "/>
    <x v="3"/>
    <s v="changement des quatres pneux REF 315/80R22,5"/>
    <m/>
    <n v="120"/>
    <n v="120"/>
    <x v="684"/>
    <m/>
    <m/>
    <x v="0"/>
    <x v="0"/>
  </r>
  <r>
    <d v="2024-01-04T00:00:00"/>
    <x v="24"/>
    <x v="0"/>
    <x v="0"/>
    <x v="19"/>
    <m/>
    <s v="mecanique "/>
    <s v="suspention moteur "/>
    <x v="0"/>
    <s v="Changement du deux moteur inf et sup "/>
    <n v="4013"/>
    <n v="540"/>
    <n v="1080"/>
    <x v="686"/>
    <m/>
    <m/>
    <x v="0"/>
    <x v="0"/>
  </r>
  <r>
    <d v="2024-01-04T00:00:00"/>
    <x v="12"/>
    <x v="3"/>
    <x v="3"/>
    <x v="12"/>
    <m/>
    <s v="mecanique "/>
    <s v="pneus "/>
    <x v="3"/>
    <s v="changement des deux pneu ref 315180R22,5"/>
    <m/>
    <n v="120"/>
    <n v="1080"/>
    <x v="687"/>
    <m/>
    <m/>
    <x v="0"/>
    <x v="0"/>
  </r>
  <r>
    <d v="2024-01-06T00:00:00"/>
    <x v="15"/>
    <x v="2"/>
    <x v="10"/>
    <x v="2"/>
    <m/>
    <s v="mecanique "/>
    <s v="Entretien "/>
    <x v="0"/>
    <s v="Vidange d'huile moteur 15w40 _x000a_lavage et grissage generale d'engin "/>
    <n v="4104"/>
    <n v="60"/>
    <n v="60"/>
    <x v="686"/>
    <m/>
    <m/>
    <x v="0"/>
    <x v="0"/>
  </r>
  <r>
    <d v="2024-01-06T00:00:00"/>
    <x v="10"/>
    <x v="1"/>
    <x v="8"/>
    <x v="10"/>
    <m/>
    <s v="mecanique "/>
    <s v="injection gasoil "/>
    <x v="0"/>
    <s v="changement de support filtre à gasoil avec pompe d'amossage "/>
    <n v="4107"/>
    <n v="120"/>
    <n v="120"/>
    <x v="686"/>
    <m/>
    <m/>
    <x v="0"/>
    <x v="0"/>
  </r>
  <r>
    <d v="2024-01-06T00:00:00"/>
    <x v="18"/>
    <x v="1"/>
    <x v="5"/>
    <x v="16"/>
    <m/>
    <s v="mecanique "/>
    <s v="Embrayage "/>
    <x v="0"/>
    <s v="changement du kit d'embrayage complet (disque ,plateau et butée ) _x000a_reparation des fuites d'air comprimée_x000a_"/>
    <m/>
    <n v="2160"/>
    <n v="2700"/>
    <x v="688"/>
    <m/>
    <m/>
    <x v="0"/>
    <x v="0"/>
  </r>
  <r>
    <d v="2024-01-08T00:00:00"/>
    <x v="4"/>
    <x v="1"/>
    <x v="3"/>
    <x v="4"/>
    <m/>
    <s v="mecanique"/>
    <s v="freinage "/>
    <x v="3"/>
    <s v="changement des deux jeux de plaquettes de frein et deux disque de frein avant , avec fiche de plaquette de frein"/>
    <m/>
    <n v="1080"/>
    <n v="1620"/>
    <x v="689"/>
    <m/>
    <m/>
    <x v="0"/>
    <x v="0"/>
  </r>
  <r>
    <d v="2024-01-10T00:00:00"/>
    <x v="3"/>
    <x v="1"/>
    <x v="3"/>
    <x v="3"/>
    <m/>
    <s v="mecanique "/>
    <s v="fuite d'huile "/>
    <x v="0"/>
    <s v="Changement des deux arret d'huile du moyeu de roue arriere "/>
    <m/>
    <n v="1080"/>
    <n v="1080"/>
    <x v="689"/>
    <m/>
    <m/>
    <x v="0"/>
    <x v="0"/>
  </r>
  <r>
    <d v="2024-01-10T00:00:00"/>
    <x v="7"/>
    <x v="1"/>
    <x v="5"/>
    <x v="7"/>
    <m/>
    <s v="mecanique "/>
    <s v="Entretien "/>
    <x v="0"/>
    <s v="Vidange d'huile moteur et changement du filtre a huile _x000a_lavage et grissage general d'engin "/>
    <m/>
    <n v="1080"/>
    <n v="1080"/>
    <x v="689"/>
    <m/>
    <m/>
    <x v="0"/>
    <x v="0"/>
  </r>
  <r>
    <d v="2024-01-10T00:00:00"/>
    <x v="22"/>
    <x v="2"/>
    <x v="14"/>
    <x v="2"/>
    <m/>
    <s v="mecanique "/>
    <s v="fuite d'huile hydraulique "/>
    <x v="0"/>
    <s v="Reparationn de fuite d'huile et changement du kit verin de lavage fourche "/>
    <m/>
    <n v="1080"/>
    <n v="1080"/>
    <x v="682"/>
    <m/>
    <m/>
    <x v="0"/>
    <x v="0"/>
  </r>
  <r>
    <d v="2024-01-14T00:00:00"/>
    <x v="27"/>
    <x v="0"/>
    <x v="0"/>
    <x v="21"/>
    <m/>
    <s v="mecanique "/>
    <s v="Freinage "/>
    <x v="0"/>
    <s v="changement des deux jeux de plaquettes de frein et deux disque de frein avant _x000a_changement des deux royule de triangle de suspention "/>
    <m/>
    <n v="1080"/>
    <n v="1080"/>
    <x v="690"/>
    <m/>
    <m/>
    <x v="0"/>
    <x v="0"/>
  </r>
  <r>
    <d v="2024-01-14T00:00:00"/>
    <x v="13"/>
    <x v="1"/>
    <x v="5"/>
    <x v="13"/>
    <m/>
    <s v="mecanique "/>
    <s v="probleme au niveau du transmission"/>
    <x v="3"/>
    <s v="changement du support cardon et croisillon cardon "/>
    <n v="4363"/>
    <n v="480"/>
    <n v="1620"/>
    <x v="691"/>
    <m/>
    <m/>
    <x v="0"/>
    <x v="0"/>
  </r>
  <r>
    <d v="2024-01-15T00:00:00"/>
    <x v="16"/>
    <x v="1"/>
    <x v="5"/>
    <x v="14"/>
    <m/>
    <s v="mecanique "/>
    <s v="Freinage "/>
    <x v="3"/>
    <s v="changement du jeu de garniture de frein _x000a_alesage  des tambours de frein _x000a_changement des arrets de graisse moyeu de roue _x000a_ _x000a_"/>
    <s v="4451 _x000a_4473 _x000a_4475"/>
    <n v="2700"/>
    <n v="3780"/>
    <x v="692"/>
    <m/>
    <m/>
    <x v="0"/>
    <x v="0"/>
  </r>
  <r>
    <d v="2024-01-17T00:00:00"/>
    <x v="10"/>
    <x v="1"/>
    <x v="8"/>
    <x v="10"/>
    <m/>
    <s v="mecanique "/>
    <s v="fuite d'huile pont arriere "/>
    <x v="3"/>
    <s v="changement d'arret d'huie du pont arriere "/>
    <s v="4392/4403"/>
    <n v="540"/>
    <n v="540"/>
    <x v="691"/>
    <m/>
    <m/>
    <x v="0"/>
    <x v="0"/>
  </r>
  <r>
    <d v="2024-01-18T00:00:00"/>
    <x v="8"/>
    <x v="3"/>
    <x v="6"/>
    <x v="8"/>
    <m/>
    <s v="mecanique "/>
    <s v="refroidissement du moteur "/>
    <x v="3"/>
    <s v="changement du coupleur de ventilateur refroidissement moteur "/>
    <n v="4489"/>
    <n v="1080"/>
    <n v="1620"/>
    <x v="693"/>
    <m/>
    <m/>
    <x v="0"/>
    <x v="0"/>
  </r>
  <r>
    <d v="2024-01-22T00:00:00"/>
    <x v="15"/>
    <x v="2"/>
    <x v="10"/>
    <x v="2"/>
    <m/>
    <s v="mecanique "/>
    <s v="probleme au niveau du moteur thermique"/>
    <x v="3"/>
    <s v="chnagement du joint culasse moteur "/>
    <n v="4405"/>
    <n v="2700"/>
    <n v="3780"/>
    <x v="694"/>
    <m/>
    <m/>
    <x v="0"/>
    <x v="0"/>
  </r>
  <r>
    <d v="2024-01-22T00:00:00"/>
    <x v="20"/>
    <x v="1"/>
    <x v="6"/>
    <x v="17"/>
    <m/>
    <s v="mecanique "/>
    <s v="demarrage moteur "/>
    <x v="3"/>
    <s v="changement du pompe a gasoil et turbo compression ( achat du la feraille )"/>
    <n v="4598"/>
    <n v="1620"/>
    <n v="2160"/>
    <x v="695"/>
    <m/>
    <m/>
    <x v="0"/>
    <x v="0"/>
  </r>
  <r>
    <d v="2024-01-23T00:00:00"/>
    <x v="21"/>
    <x v="2"/>
    <x v="13"/>
    <x v="2"/>
    <m/>
    <s v="mecanique "/>
    <s v="moteur thermique "/>
    <x v="0"/>
    <s v="changement du moteur thermique _x000a_reparation et elimination des fuites d'huile hydraulique "/>
    <s v="1854 _x000a_1962 _x000a_1857 _x000a_1733 _x000a_1351 "/>
    <m/>
    <m/>
    <x v="57"/>
    <m/>
    <m/>
    <x v="0"/>
    <x v="0"/>
  </r>
  <r>
    <d v="2024-01-24T00:00:00"/>
    <x v="45"/>
    <x v="9"/>
    <x v="24"/>
    <x v="24"/>
    <m/>
    <s v="mecanique "/>
    <s v="entretien "/>
    <x v="3"/>
    <s v="vidange d'huile moteur et changement du filtre à huile , filtre à gasoil , filtre à air "/>
    <n v="4567"/>
    <n v="120"/>
    <n v="120"/>
    <x v="696"/>
    <m/>
    <m/>
    <x v="0"/>
    <x v="0"/>
  </r>
  <r>
    <d v="2024-01-25T00:00:00"/>
    <x v="17"/>
    <x v="5"/>
    <x v="11"/>
    <x v="15"/>
    <m/>
    <s v="mecanique "/>
    <s v="Freinage "/>
    <x v="3"/>
    <s v="reparation du freinage et changement du jeu de garniture de frein _x000a_vidange d'huile moteur et changement des filtres à huile , gasoi , air "/>
    <s v="4588/4597"/>
    <n v="1080"/>
    <n v="2160"/>
    <x v="694"/>
    <m/>
    <m/>
    <x v="0"/>
    <x v="0"/>
  </r>
  <r>
    <d v="2024-01-26T00:00:00"/>
    <x v="19"/>
    <x v="7"/>
    <x v="12"/>
    <x v="2"/>
    <m/>
    <s v="mecanique "/>
    <s v="refroidissement irruglier "/>
    <x v="3"/>
    <s v="changement du courroie d'entrainement du pompe a eau "/>
    <n v="4631"/>
    <n v="120"/>
    <n v="120"/>
    <x v="695"/>
    <m/>
    <m/>
    <x v="0"/>
    <x v="0"/>
  </r>
  <r>
    <d v="2024-01-26T00:00:00"/>
    <x v="3"/>
    <x v="1"/>
    <x v="3"/>
    <x v="3"/>
    <m/>
    <s v="mecanique "/>
    <s v="entretien "/>
    <x v="3"/>
    <s v="vidange d'huile moteur et changement du filtre à huile , filtre à gasoil _x000a_lavage et grissage general d'engin "/>
    <n v="4632"/>
    <n v="120"/>
    <n v="120"/>
    <x v="695"/>
    <m/>
    <m/>
    <x v="0"/>
    <x v="0"/>
  </r>
  <r>
    <d v="2024-01-26T00:00:00"/>
    <x v="9"/>
    <x v="5"/>
    <x v="7"/>
    <x v="9"/>
    <m/>
    <s v="mecanique "/>
    <s v="entretien "/>
    <x v="3"/>
    <s v="vidange d'huile moteur et changement du filtre à huile , filtre à gasoil , filtre à air _x000a_lavage et grissage general d'engin "/>
    <n v="4633"/>
    <n v="120"/>
    <n v="120"/>
    <x v="695"/>
    <m/>
    <m/>
    <x v="0"/>
    <x v="0"/>
  </r>
  <r>
    <d v="2024-01-27T00:00:00"/>
    <x v="4"/>
    <x v="1"/>
    <x v="3"/>
    <x v="4"/>
    <m/>
    <s v="electrique "/>
    <s v="eclairage "/>
    <x v="0"/>
    <s v="changement du lampes d'eclairage avant et reparation des fuites d'air "/>
    <n v="1984"/>
    <n v="120"/>
    <n v="120"/>
    <x v="697"/>
    <m/>
    <m/>
    <x v="0"/>
    <x v="0"/>
  </r>
  <r>
    <d v="2024-01-27T00:00:00"/>
    <x v="0"/>
    <x v="0"/>
    <x v="0"/>
    <x v="0"/>
    <m/>
    <s v="Autres "/>
    <s v="Carosserie "/>
    <x v="0"/>
    <s v="Changement de retroviseur cote gauche _x000a_changement des serrures de verouillage porte "/>
    <n v="1983"/>
    <n v="180"/>
    <n v="1620"/>
    <x v="697"/>
    <m/>
    <m/>
    <x v="0"/>
    <x v="0"/>
  </r>
  <r>
    <d v="2024-01-30T00:00:00"/>
    <x v="44"/>
    <x v="2"/>
    <x v="29"/>
    <x v="28"/>
    <m/>
    <s v="mecanique "/>
    <s v="entretien "/>
    <x v="3"/>
    <s v="vidange d'huile moteur et changement du filtre à huile , filtre à gasoil , filtre à air _x000a_"/>
    <n v="4587"/>
    <n v="120"/>
    <n v="120"/>
    <x v="698"/>
    <m/>
    <m/>
    <x v="0"/>
    <x v="0"/>
  </r>
  <r>
    <d v="2024-01-30T00:00:00"/>
    <x v="8"/>
    <x v="3"/>
    <x v="6"/>
    <x v="8"/>
    <m/>
    <s v="elecrique "/>
    <s v="signalisation"/>
    <x v="3"/>
    <s v="changement de klaxon 24V _x000a_reparation d'eclairage plateau "/>
    <n v="4730"/>
    <n v="120"/>
    <n v="120"/>
    <x v="698"/>
    <m/>
    <m/>
    <x v="0"/>
    <x v="0"/>
  </r>
  <r>
    <d v="2024-01-31T00:00:00"/>
    <x v="7"/>
    <x v="1"/>
    <x v="5"/>
    <x v="7"/>
    <m/>
    <s v="Autres "/>
    <s v="Carosserie "/>
    <x v="3"/>
    <s v="Changement du jeu de balai d'essuie glace _x000a_Reparation d'eclairage "/>
    <n v="4769"/>
    <n v="60"/>
    <n v="60"/>
    <x v="699"/>
    <m/>
    <m/>
    <x v="0"/>
    <x v="0"/>
  </r>
  <r>
    <d v="2024-01-31T00:00:00"/>
    <x v="20"/>
    <x v="1"/>
    <x v="6"/>
    <x v="17"/>
    <m/>
    <s v="mecanique "/>
    <s v="suspention  "/>
    <x v="3"/>
    <s v="changement du deux amortisseur arriere "/>
    <n v="4770"/>
    <n v="360"/>
    <n v="360"/>
    <x v="699"/>
    <m/>
    <m/>
    <x v="0"/>
    <x v="0"/>
  </r>
  <r>
    <d v="2024-01-31T00:00:00"/>
    <x v="42"/>
    <x v="2"/>
    <x v="28"/>
    <x v="28"/>
    <m/>
    <s v="mecanique "/>
    <s v="fuite d'eau "/>
    <x v="3"/>
    <s v="Changement du vase d'expansion "/>
    <n v="4771"/>
    <n v="360"/>
    <n v="180"/>
    <x v="699"/>
    <m/>
    <m/>
    <x v="0"/>
    <x v="0"/>
  </r>
  <r>
    <d v="2024-02-01T00:00:00"/>
    <x v="21"/>
    <x v="2"/>
    <x v="13"/>
    <x v="2"/>
    <m/>
    <s v="mecanique "/>
    <s v="Entretien "/>
    <x v="3"/>
    <s v="vidange d'huile moteur et changement du filtre a huile"/>
    <n v="4801"/>
    <n v="60"/>
    <n v="60"/>
    <x v="700"/>
    <m/>
    <m/>
    <x v="0"/>
    <x v="0"/>
  </r>
  <r>
    <d v="2024-02-01T00:00:00"/>
    <x v="20"/>
    <x v="1"/>
    <x v="6"/>
    <x v="17"/>
    <m/>
    <s v="mecanique "/>
    <s v="fuite d'air comprimé"/>
    <x v="3"/>
    <s v="reparation du fuite d'air comprimé _x000a_vidange d'huile moteur 15WW et changement du filtre a huile "/>
    <n v="4803"/>
    <n v="240"/>
    <n v="240"/>
    <x v="700"/>
    <m/>
    <m/>
    <x v="0"/>
    <x v="0"/>
  </r>
  <r>
    <d v="2024-02-01T00:00:00"/>
    <x v="13"/>
    <x v="1"/>
    <x v="5"/>
    <x v="13"/>
    <m/>
    <s v="mecanique "/>
    <s v="freinage "/>
    <x v="3"/>
    <s v="Reparation du probleme de freinage et changement du jeu de garniture de frein , des master de frein , tambours de frein et graissage des moyeu de roue "/>
    <n v="4804"/>
    <n v="2700"/>
    <n v="4320"/>
    <x v="701"/>
    <m/>
    <m/>
    <x v="0"/>
    <x v="0"/>
  </r>
  <r>
    <d v="2024-02-02T00:00:00"/>
    <x v="18"/>
    <x v="1"/>
    <x v="5"/>
    <x v="16"/>
    <m/>
    <s v="mecanique "/>
    <s v="entretien "/>
    <x v="3"/>
    <s v="Vidange d'huile moteur et changement du filtre à huile , filtre à air , filtre à gasoil _x000a_lavage et graissage general d'engin"/>
    <n v="4835"/>
    <n v="120"/>
    <n v="120"/>
    <x v="702"/>
    <m/>
    <m/>
    <x v="0"/>
    <x v="0"/>
  </r>
  <r>
    <d v="2024-02-03T00:00:00"/>
    <x v="20"/>
    <x v="1"/>
    <x v="6"/>
    <x v="17"/>
    <m/>
    <s v="mecanique "/>
    <s v="Embrayage "/>
    <x v="3"/>
    <s v="reparation du probleme au niveau d'embrayage et changement du pompe sup "/>
    <n v="4874"/>
    <n v="540"/>
    <n v="540"/>
    <x v="703"/>
    <m/>
    <m/>
    <x v="0"/>
    <x v="0"/>
  </r>
  <r>
    <d v="2024-02-03T00:00:00"/>
    <x v="5"/>
    <x v="3"/>
    <x v="3"/>
    <x v="5"/>
    <m/>
    <s v="mecanique "/>
    <s v="Entretien "/>
    <x v="3"/>
    <s v="vidange d'huile moteur 15W40 ety chnangement des filtres a huile gasoil et air _x000a_lavage et graissage d'engin "/>
    <n v="4875"/>
    <n v="120"/>
    <n v="120"/>
    <x v="704"/>
    <m/>
    <m/>
    <x v="0"/>
    <x v="0"/>
  </r>
  <r>
    <d v="2024-02-03T00:00:00"/>
    <x v="20"/>
    <x v="1"/>
    <x v="6"/>
    <x v="17"/>
    <m/>
    <s v="mecanique "/>
    <s v="freinage "/>
    <x v="0"/>
    <s v="reparation du probleme de freinage et changement des master de frein  des plaquettes de frein un moyeu du roue et des atter de graisse moyeu "/>
    <n v="5380"/>
    <n v="3240"/>
    <n v="9720"/>
    <x v="705"/>
    <m/>
    <m/>
    <x v="0"/>
    <x v="0"/>
  </r>
  <r>
    <d v="2024-02-05T00:00:00"/>
    <x v="16"/>
    <x v="1"/>
    <x v="5"/>
    <x v="14"/>
    <m/>
    <s v="electrique "/>
    <s v="demarrage moteur "/>
    <x v="3"/>
    <s v="reparation du demarrage moteur et changement du bendix demarreur avec bagues et charbon  "/>
    <n v="4974"/>
    <n v="240"/>
    <n v="1620"/>
    <x v="706"/>
    <m/>
    <m/>
    <x v="0"/>
    <x v="0"/>
  </r>
  <r>
    <d v="2024-02-07T00:00:00"/>
    <x v="23"/>
    <x v="3"/>
    <x v="6"/>
    <x v="18"/>
    <m/>
    <s v="electrique / mecanique "/>
    <s v="refroidissement moteur "/>
    <x v="3"/>
    <s v="changement du coupleur de ventilateur et jante de pneus _x000a_vidange d'huile moteur et changement du filtre à huile "/>
    <n v="4975"/>
    <n v="1080"/>
    <n v="1080"/>
    <x v="701"/>
    <m/>
    <m/>
    <x v="0"/>
    <x v="0"/>
  </r>
  <r>
    <d v="2024-02-07T00:00:00"/>
    <x v="16"/>
    <x v="1"/>
    <x v="5"/>
    <x v="14"/>
    <m/>
    <s v="elecrique "/>
    <s v="eclairage "/>
    <x v="3"/>
    <s v="changement des feu de signal et feu rouge lateral "/>
    <n v="4976"/>
    <n v="240"/>
    <n v="240"/>
    <x v="706"/>
    <m/>
    <m/>
    <x v="0"/>
    <x v="0"/>
  </r>
  <r>
    <d v="2024-02-07T00:00:00"/>
    <x v="5"/>
    <x v="3"/>
    <x v="3"/>
    <x v="5"/>
    <m/>
    <s v="mecanique"/>
    <s v="embrayage "/>
    <x v="3"/>
    <s v="changement des deux pompes d'embrayage superieure et inferieur "/>
    <n v="4977"/>
    <n v="1080"/>
    <n v="1080"/>
    <x v="701"/>
    <m/>
    <m/>
    <x v="0"/>
    <x v="0"/>
  </r>
  <r>
    <d v="2024-02-08T00:00:00"/>
    <x v="8"/>
    <x v="3"/>
    <x v="6"/>
    <x v="8"/>
    <m/>
    <s v="mecanique"/>
    <s v="démarrage moteur"/>
    <x v="3"/>
    <s v="reparation du probleme d'injection gasoil et chnagement du filtre de chassis"/>
    <n v="5019"/>
    <n v="240"/>
    <n v="240"/>
    <x v="707"/>
    <m/>
    <m/>
    <x v="0"/>
    <x v="0"/>
  </r>
  <r>
    <d v="2024-02-08T00:00:00"/>
    <x v="26"/>
    <x v="2"/>
    <x v="15"/>
    <x v="2"/>
    <m/>
    <s v="mecanique"/>
    <s v="acceleration moteur "/>
    <x v="3"/>
    <s v="changement du cable d'accélération moteur "/>
    <n v="5047"/>
    <n v="120"/>
    <n v="120"/>
    <x v="708"/>
    <m/>
    <m/>
    <x v="0"/>
    <x v="0"/>
  </r>
  <r>
    <d v="2024-02-10T00:00:00"/>
    <x v="10"/>
    <x v="1"/>
    <x v="8"/>
    <x v="10"/>
    <m/>
    <s v="mecanique/electrique "/>
    <s v="eclairage "/>
    <x v="3"/>
    <s v="changement des lampes d'eclairage "/>
    <n v="5075"/>
    <n v="120"/>
    <n v="120"/>
    <x v="708"/>
    <m/>
    <m/>
    <x v="0"/>
    <x v="0"/>
  </r>
  <r>
    <d v="2024-02-10T00:00:00"/>
    <x v="13"/>
    <x v="1"/>
    <x v="5"/>
    <x v="13"/>
    <m/>
    <s v="mecanique"/>
    <s v="entretien "/>
    <x v="7"/>
    <s v="vidange d'huile moteur et changement du filtre a huile , filtre à gasoil _x000a_lavage et graissage general d'engin "/>
    <n v="5095"/>
    <n v="120"/>
    <n v="120"/>
    <x v="709"/>
    <m/>
    <m/>
    <x v="0"/>
    <x v="0"/>
  </r>
  <r>
    <d v="2024-02-12T00:00:00"/>
    <x v="13"/>
    <x v="1"/>
    <x v="5"/>
    <x v="13"/>
    <m/>
    <s v="electrique "/>
    <s v="eclairage "/>
    <x v="3"/>
    <s v="Reparation d'eclairage et changement des lampes "/>
    <n v="5117"/>
    <n v="120"/>
    <n v="120"/>
    <x v="710"/>
    <m/>
    <m/>
    <x v="2"/>
    <x v="2"/>
  </r>
  <r>
    <d v="2024-02-12T00:00:00"/>
    <x v="18"/>
    <x v="1"/>
    <x v="5"/>
    <x v="16"/>
    <m/>
    <s v="mecanique"/>
    <s v="Démarrage "/>
    <x v="7"/>
    <s v="reparataion du probleme de demarrage et changement du filtre à gasoil "/>
    <n v="5135"/>
    <n v="120"/>
    <n v="120"/>
    <x v="710"/>
    <m/>
    <m/>
    <x v="0"/>
    <x v="0"/>
  </r>
  <r>
    <d v="2024-02-14T00:00:00"/>
    <x v="13"/>
    <x v="1"/>
    <x v="5"/>
    <x v="13"/>
    <m/>
    <s v="electrique "/>
    <s v="Eclairage "/>
    <x v="0"/>
    <s v="changement des lampes _x000a_reparation du fuite d'air comprimé "/>
    <n v="5188"/>
    <n v="120"/>
    <n v="120"/>
    <x v="711"/>
    <m/>
    <m/>
    <x v="0"/>
    <x v="0"/>
  </r>
  <r>
    <d v="2024-02-14T00:00:00"/>
    <x v="13"/>
    <x v="1"/>
    <x v="5"/>
    <x v="13"/>
    <m/>
    <s v="Autres "/>
    <s v="Carrosserie "/>
    <x v="0"/>
    <s v="peinture generale d'engin"/>
    <s v="5188/5196"/>
    <n v="5400"/>
    <n v="5400"/>
    <x v="712"/>
    <m/>
    <m/>
    <x v="0"/>
    <x v="0"/>
  </r>
  <r>
    <d v="2024-02-17T00:00:00"/>
    <x v="16"/>
    <x v="1"/>
    <x v="5"/>
    <x v="14"/>
    <m/>
    <s v="mecanique "/>
    <s v="entretien "/>
    <x v="1"/>
    <s v="vidange d'huile moteur et changement du filtre à huile f*, filtre à gasoil , filtre a air "/>
    <n v="5286"/>
    <n v="120"/>
    <n v="120"/>
    <x v="713"/>
    <m/>
    <m/>
    <x v="0"/>
    <x v="0"/>
  </r>
  <r>
    <d v="2024-02-17T00:00:00"/>
    <x v="6"/>
    <x v="4"/>
    <x v="4"/>
    <x v="6"/>
    <e v="#REF!"/>
    <s v="mecanique "/>
    <s v="Entretien "/>
    <x v="1"/>
    <s v="vidange d'huile moteur 15W40et changement de filtre à air , filtre à huile , filtre à gasoil "/>
    <n v="5293"/>
    <n v="120"/>
    <n v="120"/>
    <x v="713"/>
    <m/>
    <m/>
    <x v="0"/>
    <x v="0"/>
  </r>
  <r>
    <d v="2024-02-20T00:00:00"/>
    <x v="32"/>
    <x v="2"/>
    <x v="2"/>
    <x v="2"/>
    <m/>
    <s v="mecanique "/>
    <s v="fuite d'huile hyd"/>
    <x v="3"/>
    <s v="reparation du fuite d'huile hyd et changement de distributeur hyd"/>
    <n v="5379"/>
    <n v="1080"/>
    <n v="3780"/>
    <x v="714"/>
    <m/>
    <m/>
    <x v="0"/>
    <x v="0"/>
  </r>
  <r>
    <d v="2024-02-21T00:00:00"/>
    <x v="7"/>
    <x v="1"/>
    <x v="5"/>
    <x v="7"/>
    <m/>
    <s v="mecanique"/>
    <s v="pneus "/>
    <x v="0"/>
    <s v="changement des deux pneus ref 12R22,5"/>
    <n v="5381"/>
    <n v="120"/>
    <n v="120"/>
    <x v="715"/>
    <m/>
    <m/>
    <x v="0"/>
    <x v="0"/>
  </r>
  <r>
    <s v="22/02//2024"/>
    <x v="29"/>
    <x v="2"/>
    <x v="16"/>
    <x v="2"/>
    <m/>
    <s v="mecanique"/>
    <s v="fuite d'huile moteur "/>
    <x v="0"/>
    <s v="joint carter d'huile moteur "/>
    <n v="5411"/>
    <n v="540"/>
    <n v="1080"/>
    <x v="716"/>
    <m/>
    <m/>
    <x v="0"/>
    <x v="0"/>
  </r>
  <r>
    <d v="2024-02-23T00:00:00"/>
    <x v="42"/>
    <x v="2"/>
    <x v="28"/>
    <x v="28"/>
    <m/>
    <s v="mecanique "/>
    <s v="fuite d'huile "/>
    <x v="0"/>
    <s v="reparation de fuite d'huile et changement de kit reparation verin de levage et rotule de verin "/>
    <n v="5463"/>
    <n v="1620"/>
    <n v="2700"/>
    <x v="714"/>
    <m/>
    <m/>
    <x v="0"/>
    <x v="0"/>
  </r>
  <r>
    <d v="2024-02-24T00:00:00"/>
    <x v="15"/>
    <x v="2"/>
    <x v="10"/>
    <x v="2"/>
    <m/>
    <s v="mecanique "/>
    <s v="fuite d'huile hyd"/>
    <x v="0"/>
    <s v="reparation du verin de levage et changement de kit reparation verin "/>
    <n v="5499"/>
    <n v="1620"/>
    <n v="2160"/>
    <x v="714"/>
    <m/>
    <m/>
    <x v="0"/>
    <x v="0"/>
  </r>
  <r>
    <d v="2024-02-26T00:00:00"/>
    <x v="23"/>
    <x v="3"/>
    <x v="6"/>
    <x v="18"/>
    <m/>
    <s v="electrique "/>
    <s v="Eclairage"/>
    <x v="0"/>
    <s v="Reparation d'eclairage et changement des lampes et cataphotes "/>
    <n v="5516"/>
    <n v="120"/>
    <n v="120"/>
    <x v="717"/>
    <m/>
    <m/>
    <x v="0"/>
    <x v="0"/>
  </r>
  <r>
    <d v="2024-03-01T00:00:00"/>
    <x v="12"/>
    <x v="3"/>
    <x v="3"/>
    <x v="12"/>
    <m/>
    <s v="mecanique "/>
    <s v="entretien "/>
    <x v="0"/>
    <s v="vidange d'huile moteur 15W40 _x000a_changement du retroviseur cote droit "/>
    <n v="6559"/>
    <n v="120"/>
    <n v="120"/>
    <x v="718"/>
    <m/>
    <m/>
    <x v="0"/>
    <x v="0"/>
  </r>
  <r>
    <d v="2024-03-01T00:00:00"/>
    <x v="1"/>
    <x v="1"/>
    <x v="1"/>
    <x v="1"/>
    <m/>
    <s v="mecanique "/>
    <s v="acceleration moteur "/>
    <x v="0"/>
    <s v="changement du cable d'acceleration moteur "/>
    <n v="5661"/>
    <n v="180"/>
    <n v="180"/>
    <x v="718"/>
    <m/>
    <m/>
    <x v="0"/>
    <x v="0"/>
  </r>
  <r>
    <d v="2024-03-01T00:00:00"/>
    <x v="19"/>
    <x v="7"/>
    <x v="12"/>
    <x v="2"/>
    <m/>
    <s v="mecanique "/>
    <s v="moteur "/>
    <x v="0"/>
    <s v="changement du joint culasse et des sleeves d'injecteur _x000a_contrôle et reparation du culasse "/>
    <n v="5697"/>
    <n v="3240"/>
    <n v="7020"/>
    <x v="719"/>
    <m/>
    <m/>
    <x v="0"/>
    <x v="0"/>
  </r>
  <r>
    <d v="2024-03-01T00:00:00"/>
    <x v="11"/>
    <x v="3"/>
    <x v="3"/>
    <x v="11"/>
    <m/>
    <s v="mecanique "/>
    <s v="entretien "/>
    <x v="1"/>
    <s v="vidange d'huile moteur 15W40 _x000a_changement du filtre a huile , filtre a gasoil , filtre a air _x000a_lavage et graissage general d'engin _x000a_"/>
    <n v="5651"/>
    <n v="120"/>
    <n v="120"/>
    <x v="718"/>
    <m/>
    <m/>
    <x v="0"/>
    <x v="0"/>
  </r>
  <r>
    <d v="2024-03-05T00:00:00"/>
    <x v="32"/>
    <x v="2"/>
    <x v="2"/>
    <x v="2"/>
    <m/>
    <s v="mecanique "/>
    <s v="direction "/>
    <x v="0"/>
    <s v="reparation du moyeu de roue et changement du kit reparation moyeu de roue "/>
    <n v="5762"/>
    <n v="540"/>
    <n v="540"/>
    <x v="720"/>
    <m/>
    <m/>
    <x v="0"/>
    <x v="0"/>
  </r>
  <r>
    <d v="2024-03-05T00:00:00"/>
    <x v="3"/>
    <x v="1"/>
    <x v="3"/>
    <x v="3"/>
    <m/>
    <s v="electrique "/>
    <s v="eclairage "/>
    <x v="0"/>
    <s v="reparationn d'eclairage et changement des lampes "/>
    <n v="5769"/>
    <n v="120"/>
    <n v="120"/>
    <x v="721"/>
    <m/>
    <m/>
    <x v="0"/>
    <x v="0"/>
  </r>
  <r>
    <d v="2024-03-08T00:00:00"/>
    <x v="2"/>
    <x v="2"/>
    <x v="2"/>
    <x v="2"/>
    <m/>
    <s v="electrique "/>
    <s v="demarrage moteur "/>
    <x v="0"/>
    <s v="reparation du probleme de demarrage et changement de batterie  12V"/>
    <n v="5867"/>
    <n v="120"/>
    <n v="120"/>
    <x v="722"/>
    <m/>
    <m/>
    <x v="0"/>
    <x v="0"/>
  </r>
  <r>
    <d v="2024-03-12T00:00:00"/>
    <x v="6"/>
    <x v="4"/>
    <x v="4"/>
    <x v="6"/>
    <m/>
    <s v="electrique "/>
    <s v="demarrage "/>
    <x v="0"/>
    <s v="reparation de probleme de demarrage et changement du battrerie 12V"/>
    <n v="5975"/>
    <n v="240"/>
    <n v="240"/>
    <x v="723"/>
    <m/>
    <m/>
    <x v="0"/>
    <x v="0"/>
  </r>
  <r>
    <d v="2024-03-13T00:00:00"/>
    <x v="11"/>
    <x v="3"/>
    <x v="3"/>
    <x v="11"/>
    <m/>
    <s v="electrique "/>
    <s v="eclairage "/>
    <x v="0"/>
    <s v="reparation d'eclairage et changement des lampes "/>
    <n v="6013"/>
    <n v="60"/>
    <n v="60"/>
    <x v="724"/>
    <m/>
    <m/>
    <x v="0"/>
    <x v="0"/>
  </r>
  <r>
    <d v="2024-03-15T00:00:00"/>
    <x v="4"/>
    <x v="1"/>
    <x v="3"/>
    <x v="4"/>
    <m/>
    <s v="mecanique "/>
    <s v="entretien "/>
    <x v="1"/>
    <s v="vidange d'huile moteur 15W40 _x000a_changement du filtre à huile , filtre à gasoil _x000a_lavage et graissage general d'engin "/>
    <n v="6064"/>
    <n v="120"/>
    <n v="120"/>
    <x v="719"/>
    <m/>
    <m/>
    <x v="0"/>
    <x v="0"/>
  </r>
  <r>
    <d v="2024-03-15T00:00:00"/>
    <x v="11"/>
    <x v="3"/>
    <x v="3"/>
    <x v="11"/>
    <m/>
    <s v="electrique "/>
    <s v="eclairage "/>
    <x v="0"/>
    <s v="reparation d'eclairage et changement des lampes "/>
    <n v="6075"/>
    <n v="120"/>
    <n v="120"/>
    <x v="719"/>
    <m/>
    <m/>
    <x v="0"/>
    <x v="0"/>
  </r>
  <r>
    <d v="2024-03-18T00:00:00"/>
    <x v="16"/>
    <x v="1"/>
    <x v="5"/>
    <x v="14"/>
    <m/>
    <s v="mecanique "/>
    <s v="freinage "/>
    <x v="0"/>
    <s v="reparation du freinage et changement du jeu de garniture de frein et jeu de machoir de frein + radiateur "/>
    <n v="6211"/>
    <n v="3240"/>
    <n v="3240"/>
    <x v="725"/>
    <m/>
    <m/>
    <x v="0"/>
    <x v="0"/>
  </r>
  <r>
    <d v="2024-03-18T00:00:00"/>
    <x v="8"/>
    <x v="3"/>
    <x v="6"/>
    <x v="8"/>
    <m/>
    <s v="mecanique "/>
    <s v="fuite de liquide de refroidissement "/>
    <x v="0"/>
    <s v="changement du pompe a eau "/>
    <n v="6215"/>
    <n v="1620"/>
    <n v="2700"/>
    <x v="726"/>
    <m/>
    <m/>
    <x v="3"/>
    <x v="2"/>
  </r>
  <r>
    <d v="2024-03-19T00:00:00"/>
    <x v="22"/>
    <x v="2"/>
    <x v="14"/>
    <x v="2"/>
    <m/>
    <s v="mecanique "/>
    <s v="fuite d'huile hyd "/>
    <x v="0"/>
    <s v="reparation du fuite d'huile hyd et changement ddes kits reparation distributeur "/>
    <s v="6138/6154"/>
    <n v="2160"/>
    <n v="3240"/>
    <x v="727"/>
    <m/>
    <m/>
    <x v="0"/>
    <x v="0"/>
  </r>
  <r>
    <d v="2024-03-19T00:00:00"/>
    <x v="33"/>
    <x v="2"/>
    <x v="18"/>
    <x v="2"/>
    <m/>
    <s v="mecanique "/>
    <s v="refroidissement "/>
    <x v="0"/>
    <s v="changement tourdeur courroie de ventilateur refroidissement "/>
    <s v="6140/6144"/>
    <n v="540"/>
    <n v="1080"/>
    <x v="728"/>
    <m/>
    <m/>
    <x v="0"/>
    <x v="0"/>
  </r>
  <r>
    <d v="2024-03-19T00:00:00"/>
    <x v="22"/>
    <x v="2"/>
    <x v="14"/>
    <x v="29"/>
    <m/>
    <s v="mecanique "/>
    <s v="fuite d'huile "/>
    <x v="0"/>
    <s v="reparation du distributeur hydraulique "/>
    <n v="6144"/>
    <n v="360"/>
    <n v="360"/>
    <x v="729"/>
    <m/>
    <m/>
    <x v="3"/>
    <x v="2"/>
  </r>
  <r>
    <d v="2024-03-21T00:00:00"/>
    <x v="12"/>
    <x v="3"/>
    <x v="3"/>
    <x v="12"/>
    <m/>
    <s v="mecanique "/>
    <s v="pneu "/>
    <x v="0"/>
    <s v="changement des deux pneu REF 315/80r22,5 _x000a_changement du venteuse du cabine "/>
    <n v="6212"/>
    <n v="1080"/>
    <n v="1080"/>
    <x v="730"/>
    <m/>
    <m/>
    <x v="0"/>
    <x v="0"/>
  </r>
  <r>
    <d v="2024-03-21T00:00:00"/>
    <x v="6"/>
    <x v="4"/>
    <x v="4"/>
    <x v="6"/>
    <m/>
    <s v="mecanique "/>
    <s v="pneu "/>
    <x v="0"/>
    <s v="changement des deux pneu REF 195A0R15"/>
    <n v="6213"/>
    <n v="120"/>
    <n v="120"/>
    <x v="731"/>
    <m/>
    <m/>
    <x v="0"/>
    <x v="0"/>
  </r>
  <r>
    <d v="2024-03-23T00:00:00"/>
    <x v="17"/>
    <x v="5"/>
    <x v="11"/>
    <x v="15"/>
    <m/>
    <s v="mecanique "/>
    <s v="freinage "/>
    <x v="0"/>
    <s v="reparation de freinage et changement des masters de frein "/>
    <n v="6217"/>
    <n v="540"/>
    <n v="540"/>
    <x v="726"/>
    <m/>
    <m/>
    <x v="0"/>
    <x v="0"/>
  </r>
  <r>
    <d v="2024-03-23T00:00:00"/>
    <x v="38"/>
    <x v="0"/>
    <x v="25"/>
    <x v="25"/>
    <m/>
    <s v="Mecanique / Electrique "/>
    <s v="eclairage "/>
    <x v="0"/>
    <s v="changement du feu de signale comodo feu de signal"/>
    <n v="6281"/>
    <n v="1080"/>
    <n v="1080"/>
    <x v="726"/>
    <m/>
    <m/>
    <x v="0"/>
    <x v="0"/>
  </r>
  <r>
    <d v="2024-03-25T00:00:00"/>
    <x v="1"/>
    <x v="1"/>
    <x v="1"/>
    <x v="1"/>
    <m/>
    <s v="mecanique "/>
    <s v="fuite d'air comprimé"/>
    <x v="0"/>
    <s v="reparation du fuite d'air au niveau d'appareille de frein "/>
    <n v="6344"/>
    <n v="240"/>
    <n v="240"/>
    <x v="727"/>
    <m/>
    <m/>
    <x v="0"/>
    <x v="0"/>
  </r>
  <r>
    <d v="2024-03-26T00:00:00"/>
    <x v="24"/>
    <x v="0"/>
    <x v="0"/>
    <x v="19"/>
    <m/>
    <s v="mecanique "/>
    <s v="suspension  "/>
    <x v="3"/>
    <s v="reparation des probleme de suspension et changement du biellettes de suspension , amortisseurs , jeu du courroie accessoire , des triangles de suspension des rotule de triangle et kit d'embrayage "/>
    <n v="6353"/>
    <n v="2160"/>
    <n v="2700"/>
    <x v="732"/>
    <m/>
    <m/>
    <x v="0"/>
    <x v="0"/>
  </r>
  <r>
    <d v="2024-03-27T00:00:00"/>
    <x v="15"/>
    <x v="2"/>
    <x v="10"/>
    <x v="2"/>
    <m/>
    <s v="mecanique "/>
    <s v="demarrage "/>
    <x v="0"/>
    <s v="reparation du probleme de demarrage et changement des cosses de batterie"/>
    <n v="6384"/>
    <n v="240"/>
    <n v="240"/>
    <x v="733"/>
    <m/>
    <m/>
    <x v="0"/>
    <x v="0"/>
  </r>
  <r>
    <d v="2024-03-28T00:00:00"/>
    <x v="8"/>
    <x v="3"/>
    <x v="6"/>
    <x v="8"/>
    <m/>
    <s v="mecanique "/>
    <s v="fuite d'air comprime "/>
    <x v="0"/>
    <s v="reparation du fuite d'air comprime _x000a_soudure des fussure au niveau du chassis du plateau "/>
    <s v="6420/6408"/>
    <n v="540"/>
    <n v="480"/>
    <x v="734"/>
    <m/>
    <m/>
    <x v="0"/>
    <x v="0"/>
  </r>
  <r>
    <d v="2024-03-28T00:00:00"/>
    <x v="22"/>
    <x v="2"/>
    <x v="14"/>
    <x v="2"/>
    <m/>
    <s v="mecanique "/>
    <s v="marche AV/AR"/>
    <x v="0"/>
    <s v="reparation du probleme de marche AV/AR"/>
    <n v="6430"/>
    <n v="180"/>
    <n v="180"/>
    <x v="734"/>
    <m/>
    <m/>
    <x v="0"/>
    <x v="0"/>
  </r>
  <r>
    <d v="2024-04-01T00:00:00"/>
    <x v="23"/>
    <x v="3"/>
    <x v="6"/>
    <x v="18"/>
    <m/>
    <s v="electrique "/>
    <s v="eclairage "/>
    <x v="0"/>
    <s v="Reparation d'eclairage et changement des lampes "/>
    <n v="6520"/>
    <n v="120"/>
    <n v="120"/>
    <x v="735"/>
    <m/>
    <m/>
    <x v="0"/>
    <x v="0"/>
  </r>
  <r>
    <d v="2024-04-01T00:00:00"/>
    <x v="27"/>
    <x v="0"/>
    <x v="0"/>
    <x v="21"/>
    <m/>
    <s v="mecanique "/>
    <s v="fuite du gasoil "/>
    <x v="0"/>
    <s v="reparation de fuite et changement du pompe a gasoil "/>
    <n v="6528"/>
    <n v="180"/>
    <n v="240"/>
    <x v="735"/>
    <m/>
    <m/>
    <x v="0"/>
    <x v="0"/>
  </r>
  <r>
    <d v="2024-04-01T00:00:00"/>
    <x v="9"/>
    <x v="5"/>
    <x v="7"/>
    <x v="9"/>
    <m/>
    <s v="mecanique "/>
    <s v="suspension  "/>
    <x v="0"/>
    <s v="changement des deux amortisseurs "/>
    <n v="6533"/>
    <n v="240"/>
    <n v="240"/>
    <x v="735"/>
    <m/>
    <m/>
    <x v="0"/>
    <x v="0"/>
  </r>
  <r>
    <d v="2024-04-01T00:00:00"/>
    <x v="16"/>
    <x v="1"/>
    <x v="5"/>
    <x v="14"/>
    <m/>
    <s v="mecanique "/>
    <s v="Embrayage "/>
    <x v="0"/>
    <s v="reparation du probleme d'embrayage et changement de kit d'embrayage complet "/>
    <n v="6534"/>
    <n v="2700"/>
    <n v="4320"/>
    <x v="736"/>
    <m/>
    <m/>
    <x v="0"/>
    <x v="0"/>
  </r>
  <r>
    <d v="2024-04-02T00:00:00"/>
    <x v="33"/>
    <x v="2"/>
    <x v="18"/>
    <x v="2"/>
    <m/>
    <s v="mecanique "/>
    <s v="Entretien "/>
    <x v="1"/>
    <s v="vidange d'huile moteur et lavage , graissage generale d'engin "/>
    <n v="6553"/>
    <n v="60"/>
    <n v="60"/>
    <x v="737"/>
    <m/>
    <m/>
    <x v="0"/>
    <x v="0"/>
  </r>
  <r>
    <d v="2024-04-02T00:00:00"/>
    <x v="32"/>
    <x v="2"/>
    <x v="2"/>
    <x v="2"/>
    <m/>
    <s v="mecanique "/>
    <s v="Entretien "/>
    <x v="1"/>
    <s v="vidange d'huile moteur _x000a_lavage et graissage generale d'engin "/>
    <n v="6554"/>
    <n v="60"/>
    <n v="60"/>
    <x v="737"/>
    <m/>
    <m/>
    <x v="0"/>
    <x v="0"/>
  </r>
  <r>
    <d v="2024-04-03T00:00:00"/>
    <x v="27"/>
    <x v="0"/>
    <x v="0"/>
    <x v="21"/>
    <s v=" "/>
    <s v="mecanique "/>
    <s v="suspension  "/>
    <x v="0"/>
    <s v="chnagement des amortisseurs + triangles de suspension des biellette de suspension et slent bloc"/>
    <n v="6589"/>
    <n v="2160"/>
    <n v="3240"/>
    <x v="738"/>
    <m/>
    <m/>
    <x v="0"/>
    <x v="0"/>
  </r>
  <r>
    <d v="2024-04-04T00:00:00"/>
    <x v="12"/>
    <x v="3"/>
    <x v="3"/>
    <x v="12"/>
    <s v=" "/>
    <s v="mecanique "/>
    <s v="fuite d'air "/>
    <x v="8"/>
    <s v="Reparation du fuite d'air comprime _x000a_vidange d'huile moteur 15W40_x000a_reparation d'eclairage "/>
    <n v="6626"/>
    <n v="540"/>
    <n v="540"/>
    <x v="739"/>
    <m/>
    <m/>
    <x v="0"/>
    <x v="0"/>
  </r>
  <r>
    <d v="2024-04-05T00:00:00"/>
    <x v="5"/>
    <x v="3"/>
    <x v="3"/>
    <x v="5"/>
    <m/>
    <s v="mecanique "/>
    <s v="transmission "/>
    <x v="0"/>
    <s v="changement des vis de fixation du cardon de transmission"/>
    <n v="6642"/>
    <n v="180"/>
    <n v="240"/>
    <x v="740"/>
    <m/>
    <m/>
    <x v="0"/>
    <x v="0"/>
  </r>
  <r>
    <d v="2024-04-05T00:00:00"/>
    <x v="16"/>
    <x v="1"/>
    <x v="5"/>
    <x v="14"/>
    <m/>
    <s v="electrique "/>
    <s v="demarrage"/>
    <x v="0"/>
    <s v="changement du batterie de demarrage 12VL5"/>
    <n v="6643"/>
    <n v="240"/>
    <n v="240"/>
    <x v="740"/>
    <m/>
    <m/>
    <x v="0"/>
    <x v="0"/>
  </r>
  <r>
    <d v="2024-04-17T00:00:00"/>
    <x v="18"/>
    <x v="1"/>
    <x v="5"/>
    <x v="16"/>
    <m/>
    <s v="mecanique "/>
    <s v="freinage "/>
    <x v="0"/>
    <s v="reparation du freinage et changement des masters nde frein "/>
    <n v="6798"/>
    <n v="1080"/>
    <n v="1080"/>
    <x v="741"/>
    <m/>
    <m/>
    <x v="0"/>
    <x v="0"/>
  </r>
  <r>
    <d v="2024-04-17T00:00:00"/>
    <x v="10"/>
    <x v="1"/>
    <x v="8"/>
    <x v="10"/>
    <m/>
    <s v="electrique "/>
    <s v="eclairage "/>
    <x v="0"/>
    <s v="changement du deux optique avant "/>
    <n v="6799"/>
    <n v="540"/>
    <n v="540"/>
    <x v="742"/>
    <m/>
    <m/>
    <x v="0"/>
    <x v="0"/>
  </r>
  <r>
    <d v="2024-04-17T00:00:00"/>
    <x v="16"/>
    <x v="1"/>
    <x v="5"/>
    <x v="14"/>
    <m/>
    <s v="mecanique "/>
    <s v="freinage "/>
    <x v="0"/>
    <s v="changement des arrets de graisse moyeu "/>
    <n v="6801"/>
    <n v="540"/>
    <n v="1080"/>
    <x v="741"/>
    <m/>
    <m/>
    <x v="0"/>
    <x v="0"/>
  </r>
  <r>
    <d v="2024-04-17T00:00:00"/>
    <x v="8"/>
    <x v="3"/>
    <x v="6"/>
    <x v="8"/>
    <m/>
    <s v="mecanique "/>
    <s v="embrayage "/>
    <x v="0"/>
    <s v="changement du pompe d'embryage inferieure"/>
    <n v="6806"/>
    <n v="120"/>
    <n v="120"/>
    <x v="742"/>
    <m/>
    <m/>
    <x v="0"/>
    <x v="0"/>
  </r>
  <r>
    <d v="2024-04-19T00:00:00"/>
    <x v="12"/>
    <x v="3"/>
    <x v="3"/>
    <x v="12"/>
    <m/>
    <s v="electrique "/>
    <s v="eclairage "/>
    <x v="0"/>
    <s v="reparation d'eclairge et changement des lampes "/>
    <n v="6866"/>
    <n v="120"/>
    <n v="120"/>
    <x v="741"/>
    <m/>
    <m/>
    <x v="0"/>
    <x v="0"/>
  </r>
  <r>
    <d v="2024-04-20T00:00:00"/>
    <x v="18"/>
    <x v="1"/>
    <x v="5"/>
    <x v="16"/>
    <m/>
    <s v="mecanique "/>
    <s v="freinage "/>
    <x v="0"/>
    <s v="reparation du freinage et changement des garniture de frein des arret de graisse moyeu _x000a_peinture general d'engin"/>
    <s v="7071/7144"/>
    <n v="7560"/>
    <n v="7560"/>
    <x v="743"/>
    <m/>
    <m/>
    <x v="0"/>
    <x v="0"/>
  </r>
  <r>
    <d v="2024-04-22T00:00:00"/>
    <x v="8"/>
    <x v="3"/>
    <x v="6"/>
    <x v="8"/>
    <m/>
    <s v="mecanique"/>
    <s v="embrayage "/>
    <x v="0"/>
    <s v="reparation du prob d'embrayage et changement du kit d'embrayage et butee + fourchette d'embrayage _x000a_reparation du fuite d'huile de refroidissement moteur ,  changement du barre de direction "/>
    <n v="6925"/>
    <n v="2160"/>
    <n v="3240"/>
    <x v="744"/>
    <m/>
    <m/>
    <x v="0"/>
    <x v="0"/>
  </r>
  <r>
    <d v="2024-04-22T00:00:00"/>
    <x v="11"/>
    <x v="3"/>
    <x v="3"/>
    <x v="11"/>
    <m/>
    <s v="electrrique"/>
    <s v="eclairage "/>
    <x v="3"/>
    <s v="reparation d'eclairage et changement des lampes"/>
    <n v="6965"/>
    <n v="120"/>
    <n v="120"/>
    <x v="745"/>
    <m/>
    <m/>
    <x v="0"/>
    <x v="0"/>
  </r>
  <r>
    <d v="2024-04-23T00:00:00"/>
    <x v="11"/>
    <x v="3"/>
    <x v="3"/>
    <x v="11"/>
    <m/>
    <s v="electrique "/>
    <s v="eclairage "/>
    <x v="3"/>
    <s v="reparation d'eclairage et changement des lampes "/>
    <n v="6965"/>
    <n v="120"/>
    <n v="120"/>
    <x v="746"/>
    <m/>
    <m/>
    <x v="0"/>
    <x v="0"/>
  </r>
  <r>
    <d v="2024-04-24T00:00:00"/>
    <x v="7"/>
    <x v="1"/>
    <x v="5"/>
    <x v="7"/>
    <m/>
    <s v="mecanique"/>
    <s v="freinage "/>
    <x v="0"/>
    <s v="Reparation d'eclairage et changement des lampes _x000a_reparation de freinage et changement des deux jeu de garniture de frein + arret de graisse _x000a_reparation et changement des pieces de carrossrie _x000a_"/>
    <n v="7198"/>
    <n v="2700"/>
    <n v="3240"/>
    <x v="743"/>
    <m/>
    <m/>
    <x v="0"/>
    <x v="0"/>
  </r>
  <r>
    <d v="2024-04-25T00:00:00"/>
    <x v="19"/>
    <x v="7"/>
    <x v="12"/>
    <x v="2"/>
    <m/>
    <s v="mecanique "/>
    <s v="demarrage moteur "/>
    <x v="0"/>
    <s v="changement des deux batterie 12V"/>
    <n v="7017"/>
    <n v="180"/>
    <n v="180"/>
    <x v="747"/>
    <m/>
    <m/>
    <x v="0"/>
    <x v="0"/>
  </r>
  <r>
    <d v="2024-04-27T00:00:00"/>
    <x v="23"/>
    <x v="3"/>
    <x v="6"/>
    <x v="18"/>
    <m/>
    <s v="mecanique "/>
    <s v="refroidissement moteur "/>
    <x v="0"/>
    <s v="reparation du probleme de refroidissement moteur et changement du courroie et tondeur "/>
    <n v="7072"/>
    <n v="540"/>
    <n v="540"/>
    <x v="748"/>
    <m/>
    <m/>
    <x v="0"/>
    <x v="0"/>
  </r>
  <r>
    <d v="2024-04-27T00:00:00"/>
    <x v="31"/>
    <x v="0"/>
    <x v="0"/>
    <x v="23"/>
    <m/>
    <s v="mecanique "/>
    <s v="suspension  "/>
    <x v="0"/>
    <s v="reparation du probleme de suspension et d'eclairage "/>
    <n v="7073"/>
    <n v="1620"/>
    <n v="1620"/>
    <x v="749"/>
    <m/>
    <m/>
    <x v="0"/>
    <x v="0"/>
  </r>
  <r>
    <d v="2024-05-01T00:00:00"/>
    <x v="15"/>
    <x v="2"/>
    <x v="10"/>
    <x v="2"/>
    <m/>
    <s v="mecanique "/>
    <s v="moyeu de roue AR"/>
    <x v="0"/>
    <s v="changement du kit reparation moyeu de roue arriere "/>
    <n v="7229"/>
    <n v="240"/>
    <n v="1620"/>
    <x v="750"/>
    <m/>
    <m/>
    <x v="0"/>
    <x v="0"/>
  </r>
  <r>
    <d v="2024-05-01T00:00:00"/>
    <x v="2"/>
    <x v="2"/>
    <x v="2"/>
    <x v="2"/>
    <m/>
    <s v="mecanique "/>
    <s v="moteur thermique "/>
    <x v="3"/>
    <s v="mise a nouveau  du moteur thermique et changement de chemise piston "/>
    <n v="7534"/>
    <n v="5400"/>
    <n v="11800"/>
    <x v="751"/>
    <m/>
    <m/>
    <x v="0"/>
    <x v="0"/>
  </r>
  <r>
    <d v="2024-05-02T00:00:00"/>
    <x v="1"/>
    <x v="1"/>
    <x v="1"/>
    <x v="1"/>
    <m/>
    <s v="mecanique "/>
    <s v="entretien "/>
    <x v="0"/>
    <s v="vidange d'huile moteur et changement du filltre à huile et filtre à gasoil _x000a_lavage et graissage general d'engin "/>
    <n v="7192"/>
    <n v="180"/>
    <n v="180"/>
    <x v="752"/>
    <m/>
    <m/>
    <x v="0"/>
    <x v="0"/>
  </r>
  <r>
    <d v="2024-05-02T00:00:00"/>
    <x v="12"/>
    <x v="3"/>
    <x v="3"/>
    <x v="12"/>
    <m/>
    <s v="mecanique "/>
    <s v="refroidissement "/>
    <x v="0"/>
    <s v="changement de tube de refroidissement _x000a_reparation d'eclairage "/>
    <n v="7193"/>
    <n v="1080"/>
    <n v="1080"/>
    <x v="750"/>
    <m/>
    <m/>
    <x v="0"/>
    <x v="0"/>
  </r>
  <r>
    <d v="2024-05-02T00:00:00"/>
    <x v="1"/>
    <x v="1"/>
    <x v="1"/>
    <x v="1"/>
    <m/>
    <s v="electrique"/>
    <s v="eclairage "/>
    <x v="0"/>
    <s v="reparation d'eclairage et changement des lampes et feu de signal "/>
    <n v="7197"/>
    <n v="540"/>
    <n v="540"/>
    <x v="752"/>
    <m/>
    <m/>
    <x v="0"/>
    <x v="0"/>
  </r>
  <r>
    <d v="2024-05-02T00:00:00"/>
    <x v="28"/>
    <x v="2"/>
    <x v="13"/>
    <x v="2"/>
    <m/>
    <s v="mecanique "/>
    <s v="fuite d'eau "/>
    <x v="0"/>
    <s v="reparation du fuite d'eau et changement du pompe d'eau "/>
    <n v="7231"/>
    <n v="1080"/>
    <n v="3240"/>
    <x v="753"/>
    <m/>
    <m/>
    <x v="0"/>
    <x v="0"/>
  </r>
  <r>
    <d v="2024-05-03T00:00:00"/>
    <x v="22"/>
    <x v="2"/>
    <x v="14"/>
    <x v="2"/>
    <m/>
    <s v="mecanique "/>
    <s v="freinage "/>
    <x v="3"/>
    <s v="reparation du freinage et changement du pompe de frein "/>
    <n v="7234"/>
    <n v="180"/>
    <n v="540"/>
    <x v="750"/>
    <m/>
    <m/>
    <x v="0"/>
    <x v="0"/>
  </r>
  <r>
    <d v="2024-05-03T00:00:00"/>
    <x v="12"/>
    <x v="3"/>
    <x v="3"/>
    <x v="12"/>
    <m/>
    <s v="mecanique "/>
    <s v="Freinage "/>
    <x v="0"/>
    <s v="rparation du frein plateau et changement des deux jeu garniture de frein "/>
    <n v="7270"/>
    <n v="1620"/>
    <n v="1620"/>
    <x v="743"/>
    <m/>
    <m/>
    <x v="0"/>
    <x v="0"/>
  </r>
  <r>
    <d v="2024-05-06T00:00:00"/>
    <x v="23"/>
    <x v="3"/>
    <x v="6"/>
    <x v="18"/>
    <m/>
    <s v="mecanique "/>
    <s v="fuite d'air"/>
    <x v="0"/>
    <s v="reparation du fuite d'air et changement des tuyaux percés"/>
    <n v="7284"/>
    <n v="180"/>
    <n v="180"/>
    <x v="743"/>
    <m/>
    <m/>
    <x v="0"/>
    <x v="0"/>
  </r>
  <r>
    <d v="2024-05-06T00:00:00"/>
    <x v="8"/>
    <x v="3"/>
    <x v="6"/>
    <x v="8"/>
    <m/>
    <s v="mecanique "/>
    <s v="selection de vitesse "/>
    <x v="0"/>
    <s v="changemnt du selecteur de vitesse "/>
    <n v="7344"/>
    <n v="1080"/>
    <n v="2160"/>
    <x v="754"/>
    <m/>
    <m/>
    <x v="0"/>
    <x v="0"/>
  </r>
  <r>
    <d v="2024-05-07T00:00:00"/>
    <x v="16"/>
    <x v="1"/>
    <x v="5"/>
    <x v="14"/>
    <m/>
    <s v="mecanique "/>
    <s v="entretien "/>
    <x v="1"/>
    <s v="vidange d'huile moteur 15W40"/>
    <n v="7305"/>
    <n v="120"/>
    <n v="120"/>
    <x v="755"/>
    <m/>
    <m/>
    <x v="0"/>
    <x v="0"/>
  </r>
  <r>
    <d v="2024-05-07T00:00:00"/>
    <x v="23"/>
    <x v="3"/>
    <x v="6"/>
    <x v="18"/>
    <m/>
    <s v="mecanique "/>
    <s v="charge du battrie "/>
    <x v="0"/>
    <s v="changement d'attestation de charge batterie "/>
    <n v="7345"/>
    <n v="540"/>
    <n v="1620"/>
    <x v="754"/>
    <m/>
    <m/>
    <x v="0"/>
    <x v="0"/>
  </r>
  <r>
    <d v="2024-05-08T00:00:00"/>
    <x v="17"/>
    <x v="5"/>
    <x v="11"/>
    <x v="15"/>
    <m/>
    <s v="mecanique "/>
    <s v="acceleration moteur "/>
    <x v="0"/>
    <s v="changement du cable d'acceleration moteur "/>
    <n v="7343"/>
    <n v="180"/>
    <n v="540"/>
    <x v="756"/>
    <m/>
    <m/>
    <x v="0"/>
    <x v="0"/>
  </r>
  <r>
    <d v="2024-05-13T00:00:00"/>
    <x v="9"/>
    <x v="5"/>
    <x v="7"/>
    <x v="9"/>
    <m/>
    <s v="mecanique "/>
    <s v="freinage "/>
    <x v="3"/>
    <s v="reparation du freinage et cahngementy de master frein"/>
    <n v="7460"/>
    <n v="540"/>
    <n v="540"/>
    <x v="757"/>
    <m/>
    <m/>
    <x v="0"/>
    <x v="0"/>
  </r>
  <r>
    <d v="2024-05-13T00:00:00"/>
    <x v="8"/>
    <x v="3"/>
    <x v="6"/>
    <x v="8"/>
    <m/>
    <s v="mecanique "/>
    <s v="fuite d'huile moteur "/>
    <x v="0"/>
    <s v="changement de joint carter d'huile moteur "/>
    <n v="7462"/>
    <n v="1620"/>
    <n v="1620"/>
    <x v="758"/>
    <m/>
    <m/>
    <x v="0"/>
    <x v="0"/>
  </r>
  <r>
    <d v="2024-05-13T00:00:00"/>
    <x v="19"/>
    <x v="7"/>
    <x v="12"/>
    <x v="2"/>
    <m/>
    <s v="electrique "/>
    <s v="demarrage moteur "/>
    <x v="0"/>
    <s v="reparation de probleme de demarrage et changement de batterie "/>
    <n v="7467"/>
    <n v="120"/>
    <n v="120"/>
    <x v="757"/>
    <m/>
    <m/>
    <x v="0"/>
    <x v="0"/>
  </r>
  <r>
    <d v="2024-05-14T00:00:00"/>
    <x v="8"/>
    <x v="3"/>
    <x v="6"/>
    <x v="8"/>
    <m/>
    <s v="electrique "/>
    <s v="eclairage "/>
    <x v="3"/>
    <s v="reparation d'eclairage et changement des lampes "/>
    <n v="7503"/>
    <n v="120"/>
    <n v="120"/>
    <x v="759"/>
    <m/>
    <m/>
    <x v="0"/>
    <x v="0"/>
  </r>
  <r>
    <d v="2024-05-16T00:00:00"/>
    <x v="11"/>
    <x v="3"/>
    <x v="3"/>
    <x v="11"/>
    <m/>
    <s v="mecanique "/>
    <s v="freinage "/>
    <x v="3"/>
    <s v="reparation du freinage et chngement du jeu de garniture frein + plaquettes frein "/>
    <n v="7630"/>
    <n v="2700"/>
    <n v="5240"/>
    <x v="760"/>
    <m/>
    <m/>
    <x v="0"/>
    <x v="0"/>
  </r>
  <r>
    <d v="2024-05-18T00:00:00"/>
    <x v="17"/>
    <x v="5"/>
    <x v="11"/>
    <x v="15"/>
    <m/>
    <s v="mecanique "/>
    <s v="freinage "/>
    <x v="0"/>
    <s v="reparation freinage et changement des deux jeu de garniture de frein "/>
    <n v="7632"/>
    <n v="540"/>
    <n v="540"/>
    <x v="761"/>
    <m/>
    <m/>
    <x v="0"/>
    <x v="0"/>
  </r>
  <r>
    <d v="2024-05-22T00:00:00"/>
    <x v="8"/>
    <x v="3"/>
    <x v="6"/>
    <x v="8"/>
    <m/>
    <s v="mecanique "/>
    <s v="entretien "/>
    <x v="1"/>
    <s v="Vidange d'huile moteur 15w40 _x000a_lavage et grissage generale d'engin "/>
    <n v="7715"/>
    <n v="240"/>
    <n v="240"/>
    <x v="760"/>
    <m/>
    <m/>
    <x v="0"/>
    <x v="0"/>
  </r>
  <r>
    <d v="2024-05-25T00:00:00"/>
    <x v="0"/>
    <x v="0"/>
    <x v="0"/>
    <x v="0"/>
    <m/>
    <s v="electrique "/>
    <s v="eclairage "/>
    <x v="0"/>
    <s v="reparation d'eclairage et changement des lampes "/>
    <n v="7787"/>
    <n v="120"/>
    <n v="120"/>
    <x v="762"/>
    <m/>
    <m/>
    <x v="0"/>
    <x v="0"/>
  </r>
  <r>
    <d v="2024-05-25T00:00:00"/>
    <x v="38"/>
    <x v="0"/>
    <x v="25"/>
    <x v="25"/>
    <m/>
    <s v="electrique "/>
    <s v="signalisation"/>
    <x v="0"/>
    <s v="changement de klaxon 12V "/>
    <n v="7784"/>
    <n v="120"/>
    <n v="120"/>
    <x v="762"/>
    <m/>
    <m/>
    <x v="0"/>
    <x v="0"/>
  </r>
  <r>
    <d v="2024-05-27T00:00:00"/>
    <x v="24"/>
    <x v="0"/>
    <x v="0"/>
    <x v="19"/>
    <m/>
    <s v="mecanique "/>
    <s v="entretien "/>
    <x v="1"/>
    <s v="vidange d'huile moteur et changement du filtre à huile et filtre à gasoil "/>
    <n v="7816"/>
    <n v="120"/>
    <n v="120"/>
    <x v="763"/>
    <m/>
    <m/>
    <x v="0"/>
    <x v="0"/>
  </r>
  <r>
    <d v="2024-05-27T00:00:00"/>
    <x v="11"/>
    <x v="3"/>
    <x v="3"/>
    <x v="11"/>
    <m/>
    <s v="mecanique "/>
    <s v="freinage "/>
    <x v="3"/>
    <s v="reparation du freinage te changement des cames reglage frein _x000a_reparation des fuites d'air plateau "/>
    <n v="7822"/>
    <n v="120"/>
    <n v="120"/>
    <x v="763"/>
    <m/>
    <m/>
    <x v="0"/>
    <x v="0"/>
  </r>
  <r>
    <d v="2024-05-31T00:00:00"/>
    <x v="18"/>
    <x v="1"/>
    <x v="5"/>
    <x v="16"/>
    <m/>
    <s v="electrique"/>
    <s v="eclairage "/>
    <x v="3"/>
    <s v="reparation d'eclairage et changement des lampes et cataphotes "/>
    <n v="7932"/>
    <n v="360"/>
    <n v="360"/>
    <x v="764"/>
    <m/>
    <m/>
    <x v="0"/>
    <x v="0"/>
  </r>
  <r>
    <d v="2024-06-05T00:00:00"/>
    <x v="3"/>
    <x v="1"/>
    <x v="3"/>
    <x v="3"/>
    <m/>
    <s v="mecanique "/>
    <s v="entretien "/>
    <x v="4"/>
    <s v="vidange d'huile moteur 15W40 _x000a_lavage et graissage general d'engin "/>
    <n v="8137"/>
    <n v="180"/>
    <n v="1810"/>
    <x v="765"/>
    <m/>
    <m/>
    <x v="0"/>
    <x v="0"/>
  </r>
  <r>
    <d v="2024-06-07T00:00:00"/>
    <x v="4"/>
    <x v="1"/>
    <x v="3"/>
    <x v="4"/>
    <m/>
    <s v="mecanique "/>
    <s v="injection AD blue "/>
    <x v="0"/>
    <s v="reparation du prbleme d'injection adblue _x000a_reparation du tube d'echappement et pot catalytique _x000a_changement des goujoux du roue  "/>
    <n v="8138"/>
    <n v="1620"/>
    <n v="1620"/>
    <x v="766"/>
    <m/>
    <m/>
    <x v="0"/>
    <x v="0"/>
  </r>
  <r>
    <d v="2024-06-08T00:00:00"/>
    <x v="22"/>
    <x v="2"/>
    <x v="14"/>
    <x v="2"/>
    <m/>
    <s v="electrique "/>
    <s v="demarrage moteur "/>
    <x v="0"/>
    <s v="reparation du probleme de demarrage moteur "/>
    <n v="8139"/>
    <n v="540"/>
    <n v="540"/>
    <x v="767"/>
    <m/>
    <m/>
    <x v="0"/>
    <x v="0"/>
  </r>
  <r>
    <d v="2024-06-08T00:00:00"/>
    <x v="32"/>
    <x v="2"/>
    <x v="2"/>
    <x v="2"/>
    <m/>
    <s v="mecanique "/>
    <s v="bruit anormale "/>
    <x v="0"/>
    <s v="reparation du tondeur du courroie et changement de poulie "/>
    <n v="8140"/>
    <n v="540"/>
    <n v="540"/>
    <x v="767"/>
    <m/>
    <m/>
    <x v="0"/>
    <x v="0"/>
  </r>
  <r>
    <d v="2024-06-08T00:00:00"/>
    <x v="0"/>
    <x v="0"/>
    <x v="0"/>
    <x v="0"/>
    <m/>
    <s v="electrique "/>
    <s v="demarrage moteur "/>
    <x v="0"/>
    <s v="reparation du probleme de demarrage et changement des bougis de préchauffage"/>
    <n v="8141"/>
    <n v="540"/>
    <n v="540"/>
    <x v="767"/>
    <m/>
    <m/>
    <x v="0"/>
    <x v="0"/>
  </r>
  <r>
    <d v="2024-06-08T00:00:00"/>
    <x v="11"/>
    <x v="3"/>
    <x v="3"/>
    <x v="11"/>
    <m/>
    <s v="electrique "/>
    <s v="demarrage moteur "/>
    <x v="3"/>
    <s v="changement de deux batterie de demarrage 12V et reparation d'eclairage "/>
    <n v="8142"/>
    <n v="120"/>
    <n v="120"/>
    <x v="767"/>
    <m/>
    <m/>
    <x v="0"/>
    <x v="0"/>
  </r>
  <r>
    <d v="2024-06-08T00:00:00"/>
    <x v="1"/>
    <x v="1"/>
    <x v="1"/>
    <x v="1"/>
    <m/>
    <s v="mecanique "/>
    <s v="demarrage moteur "/>
    <x v="3"/>
    <s v="reparation du prbleme de demarrage moteur et changement du groupe d'amossage gasoil "/>
    <n v="8199"/>
    <n v="540"/>
    <n v="540"/>
    <x v="767"/>
    <m/>
    <m/>
    <x v="0"/>
    <x v="0"/>
  </r>
  <r>
    <d v="2024-06-11T00:00:00"/>
    <x v="20"/>
    <x v="1"/>
    <x v="6"/>
    <x v="17"/>
    <m/>
    <s v="mecanique "/>
    <s v="demarrage moteur "/>
    <x v="0"/>
    <s v="reparation du probleme de demarrage et changement du pompe a gasoil et filtre a gasoil"/>
    <s v=" "/>
    <n v="1080"/>
    <n v="1080"/>
    <x v="768"/>
    <m/>
    <m/>
    <x v="0"/>
    <x v="0"/>
  </r>
  <r>
    <d v="2024-06-14T00:00:00"/>
    <x v="10"/>
    <x v="1"/>
    <x v="8"/>
    <x v="10"/>
    <m/>
    <s v="mecanique "/>
    <s v="entretien "/>
    <x v="1"/>
    <s v="vidange d'huile moteur 15W40 _x000a_changement des filtres a huile , gasoil et a air _x000a_lavage et graissage generale d'engin "/>
    <n v="8269"/>
    <n v="180"/>
    <n v="180"/>
    <x v="769"/>
    <m/>
    <m/>
    <x v="0"/>
    <x v="0"/>
  </r>
  <r>
    <d v="2024-06-15T00:00:00"/>
    <x v="12"/>
    <x v="3"/>
    <x v="3"/>
    <x v="12"/>
    <m/>
    <s v="mecanique "/>
    <s v="freinage "/>
    <x v="0"/>
    <s v="reparation du freinage et changement du jeu de plaquette _x000a_changement des deux pneu REF 315/80R22,5"/>
    <n v="8273"/>
    <n v="120"/>
    <n v="120"/>
    <x v="770"/>
    <m/>
    <m/>
    <x v="0"/>
    <x v="0"/>
  </r>
  <r>
    <d v="2024-06-15T00:00:00"/>
    <x v="1"/>
    <x v="1"/>
    <x v="1"/>
    <x v="1"/>
    <m/>
    <s v="mecanique "/>
    <s v="demarage moteur "/>
    <x v="0"/>
    <s v="reparation du probleme demarrage moteur "/>
    <n v="8274"/>
    <n v="1080"/>
    <n v="1620"/>
    <x v="771"/>
    <m/>
    <m/>
    <x v="0"/>
    <x v="0"/>
  </r>
  <r>
    <d v="2024-06-15T00:00:00"/>
    <x v="16"/>
    <x v="1"/>
    <x v="5"/>
    <x v="14"/>
    <m/>
    <s v="electrique "/>
    <s v="charge du battrie "/>
    <x v="0"/>
    <s v="reparation du probleme de charge batterie et changement du charge batterie "/>
    <n v="8276"/>
    <n v="240"/>
    <n v="540"/>
    <x v="772"/>
    <m/>
    <m/>
    <x v="0"/>
    <x v="0"/>
  </r>
  <r>
    <d v="2024-06-24T00:00:00"/>
    <x v="1"/>
    <x v="1"/>
    <x v="1"/>
    <x v="1"/>
    <m/>
    <s v="mecanique "/>
    <s v="refroidissement moteur "/>
    <x v="0"/>
    <s v="reparation du probleme de refroidissement moteur et changement du ventilateur "/>
    <n v="8300"/>
    <n v="540"/>
    <n v="1080"/>
    <x v="773"/>
    <m/>
    <m/>
    <x v="0"/>
    <x v="0"/>
  </r>
  <r>
    <d v="2024-06-27T00:00:00"/>
    <x v="8"/>
    <x v="3"/>
    <x v="6"/>
    <x v="8"/>
    <m/>
    <s v="electrique "/>
    <s v="eclairage"/>
    <x v="0"/>
    <s v="reparation d'eclairage et changement des lampes _x000a_changement du coupe courant "/>
    <n v="8372"/>
    <n v="120"/>
    <n v="120"/>
    <x v="774"/>
    <m/>
    <m/>
    <x v="0"/>
    <x v="0"/>
  </r>
  <r>
    <d v="2024-06-27T00:00:00"/>
    <x v="11"/>
    <x v="3"/>
    <x v="3"/>
    <x v="11"/>
    <m/>
    <s v="mecanique "/>
    <s v="pneus "/>
    <x v="0"/>
    <s v="changement des pneus REF 315/80R22,5"/>
    <n v="8373"/>
    <n v="120"/>
    <n v="120"/>
    <x v="774"/>
    <m/>
    <m/>
    <x v="0"/>
    <x v="0"/>
  </r>
  <r>
    <d v="2024-06-27T00:00:00"/>
    <x v="9"/>
    <x v="5"/>
    <x v="7"/>
    <x v="9"/>
    <m/>
    <s v="mecanique "/>
    <s v="demarrage moteur "/>
    <x v="0"/>
    <s v="reparation du probleme demarrage et changement des deux batterie REF G7"/>
    <s v="8410/8414"/>
    <n v="240"/>
    <n v="240"/>
    <x v="774"/>
    <m/>
    <m/>
    <x v="0"/>
    <x v="0"/>
  </r>
  <r>
    <d v="2024-07-03T00:00:00"/>
    <x v="7"/>
    <x v="1"/>
    <x v="5"/>
    <x v="7"/>
    <m/>
    <s v="mecanique "/>
    <s v="entretien "/>
    <x v="1"/>
    <s v="vidange d'huile moteur et changement du filtre à huile et filtre à gasoil _x000a_changement du courroie d'alternateur _x000a_lavage et graissage generale d'engin "/>
    <n v="8492"/>
    <n v="540"/>
    <n v="540"/>
    <x v="775"/>
    <m/>
    <m/>
    <x v="0"/>
    <x v="0"/>
  </r>
  <r>
    <d v="2024-07-03T00:00:00"/>
    <x v="7"/>
    <x v="1"/>
    <x v="5"/>
    <x v="7"/>
    <m/>
    <s v="mecanique "/>
    <s v="demarrage moteur "/>
    <x v="3"/>
    <s v="changement des batteries de demarrage 12V "/>
    <n v="8493"/>
    <n v="120"/>
    <n v="120"/>
    <x v="775"/>
    <m/>
    <m/>
    <x v="0"/>
    <x v="0"/>
  </r>
  <r>
    <d v="2024-07-08T00:00:00"/>
    <x v="33"/>
    <x v="2"/>
    <x v="18"/>
    <x v="2"/>
    <m/>
    <s v="mecanique "/>
    <s v="courroie de ventilateur "/>
    <x v="0"/>
    <s v="changement du courroie f&quot;entrainement ventilateur de refroidissement "/>
    <n v="8599"/>
    <n v="120"/>
    <n v="120"/>
    <x v="776"/>
    <m/>
    <m/>
    <x v="0"/>
    <x v="0"/>
  </r>
  <r>
    <d v="2024-07-14T00:00:00"/>
    <x v="13"/>
    <x v="1"/>
    <x v="5"/>
    <x v="13"/>
    <m/>
    <s v="mecanique "/>
    <s v="fuite d'huile "/>
    <x v="1"/>
    <s v="changement du manometre d'huile moteur "/>
    <n v="8749"/>
    <n v="180"/>
    <n v="240"/>
    <x v="777"/>
    <m/>
    <m/>
    <x v="0"/>
    <x v="0"/>
  </r>
  <r>
    <d v="2024-07-14T00:00:00"/>
    <x v="29"/>
    <x v="2"/>
    <x v="16"/>
    <x v="2"/>
    <m/>
    <s v="mecanique "/>
    <s v="demarrage moteur "/>
    <x v="3"/>
    <s v="reparation du dermarreur et changement d'alternateur charge batterie "/>
    <n v="8763"/>
    <n v="1620"/>
    <n v="3440"/>
    <x v="778"/>
    <m/>
    <m/>
    <x v="0"/>
    <x v="0"/>
  </r>
  <r>
    <d v="2024-07-15T00:00:00"/>
    <x v="23"/>
    <x v="3"/>
    <x v="6"/>
    <x v="18"/>
    <m/>
    <s v="mecanique "/>
    <s v="entretien et fuite d'air "/>
    <x v="0"/>
    <s v="reparation probleme de fuite d'air comprimé _x000a_entretien et vidange d'huile moteur et changement du filtre à huile , gasoil et filtre à air + changement du jeu de balais + lavage et graissage general d'engin "/>
    <n v="8759"/>
    <n v="540"/>
    <n v="540"/>
    <x v="779"/>
    <m/>
    <m/>
    <x v="0"/>
    <x v="0"/>
  </r>
  <r>
    <d v="2024-07-15T00:00:00"/>
    <x v="13"/>
    <x v="1"/>
    <x v="5"/>
    <x v="13"/>
    <m/>
    <s v="mecanique"/>
    <s v="embrayage "/>
    <x v="0"/>
    <s v="changement de kit d'embrayage complet et rolant moteur "/>
    <n v="8762"/>
    <n v="2700"/>
    <n v="3440"/>
    <x v="780"/>
    <m/>
    <m/>
    <x v="0"/>
    <x v="0"/>
  </r>
  <r>
    <d v="2024-07-15T00:00:00"/>
    <x v="38"/>
    <x v="0"/>
    <x v="25"/>
    <x v="25"/>
    <m/>
    <s v="mecanique "/>
    <s v="entretien "/>
    <x v="4"/>
    <s v="vidange d'huile moteur 15W40 et changement filtre et filtre a huile a gasoil et filtre a air _x000a_reparation d'eclairage _x000a_"/>
    <n v="8764"/>
    <n v="180"/>
    <n v="180"/>
    <x v="779"/>
    <m/>
    <m/>
    <x v="0"/>
    <x v="0"/>
  </r>
  <r>
    <d v="2024-07-17T00:00:00"/>
    <x v="23"/>
    <x v="3"/>
    <x v="6"/>
    <x v="18"/>
    <m/>
    <s v="mecanique "/>
    <s v="entretien "/>
    <x v="4"/>
    <s v="vidange d'huile moteur et changement du filtre à huile , gasoil et filtre à air "/>
    <n v="8815"/>
    <n v="120"/>
    <n v="120"/>
    <x v="781"/>
    <m/>
    <m/>
    <x v="0"/>
    <x v="0"/>
  </r>
  <r>
    <d v="2024-07-17T00:00:00"/>
    <x v="3"/>
    <x v="1"/>
    <x v="3"/>
    <x v="3"/>
    <m/>
    <s v="mecanique "/>
    <s v="demrrage moteur "/>
    <x v="3"/>
    <s v="changement des deux batterie 12V"/>
    <n v="8818"/>
    <n v="120"/>
    <n v="120"/>
    <x v="781"/>
    <m/>
    <m/>
    <x v="0"/>
    <x v="0"/>
  </r>
  <r>
    <d v="2024-07-17T00:00:00"/>
    <x v="20"/>
    <x v="1"/>
    <x v="6"/>
    <x v="17"/>
    <m/>
    <s v="electrique "/>
    <s v="demrrage moteur "/>
    <x v="3"/>
    <s v="changement de batterie _x000a_changement des cosses batterie"/>
    <n v="8848"/>
    <n v="540"/>
    <n v="540"/>
    <x v="781"/>
    <m/>
    <m/>
    <x v="0"/>
    <x v="0"/>
  </r>
  <r>
    <d v="2024-07-19T00:00:00"/>
    <x v="11"/>
    <x v="3"/>
    <x v="3"/>
    <x v="11"/>
    <m/>
    <s v="electrique "/>
    <s v="eclairage"/>
    <x v="0"/>
    <s v="reparation d'eclairage et changement des lampes"/>
    <n v="8867"/>
    <n v="120"/>
    <n v="120"/>
    <x v="782"/>
    <m/>
    <m/>
    <x v="0"/>
    <x v="0"/>
  </r>
  <r>
    <d v="2024-07-21T00:00:00"/>
    <x v="5"/>
    <x v="3"/>
    <x v="3"/>
    <x v="5"/>
    <m/>
    <s v="mecanique"/>
    <s v="Embrayage "/>
    <x v="0"/>
    <s v="reparation probleme d'embrayage"/>
    <n v="8925"/>
    <n v="540"/>
    <n v="540"/>
    <x v="780"/>
    <m/>
    <m/>
    <x v="0"/>
    <x v="0"/>
  </r>
  <r>
    <d v="2024-07-23T00:00:00"/>
    <x v="10"/>
    <x v="1"/>
    <x v="8"/>
    <x v="10"/>
    <m/>
    <s v="mecanique "/>
    <s v="Pneu  "/>
    <x v="0"/>
    <s v="changement des deux pneus REF 11R22,5"/>
    <n v="8941"/>
    <n v="240"/>
    <n v="240"/>
    <x v="783"/>
    <m/>
    <m/>
    <x v="0"/>
    <x v="0"/>
  </r>
  <r>
    <d v="2024-07-23T00:00:00"/>
    <x v="23"/>
    <x v="3"/>
    <x v="6"/>
    <x v="18"/>
    <m/>
    <s v="mecanique "/>
    <s v="pneu "/>
    <x v="0"/>
    <s v="changement des deux pneus REF 315/80R22,5"/>
    <n v="8941"/>
    <n v="120"/>
    <n v="120"/>
    <x v="783"/>
    <m/>
    <m/>
    <x v="0"/>
    <x v="0"/>
  </r>
  <r>
    <d v="2024-07-24T00:00:00"/>
    <x v="23"/>
    <x v="3"/>
    <x v="6"/>
    <x v="18"/>
    <m/>
    <s v="mecanique "/>
    <s v="freinage "/>
    <x v="0"/>
    <s v="reparation du freinage et changement du jeu de garniture de frein pour plateau "/>
    <n v="8981"/>
    <n v="2700"/>
    <n v="3780"/>
    <x v="784"/>
    <m/>
    <m/>
    <x v="0"/>
    <x v="0"/>
  </r>
  <r>
    <d v="2024-07-24T00:00:00"/>
    <x v="26"/>
    <x v="2"/>
    <x v="15"/>
    <x v="2"/>
    <m/>
    <s v="mecanique "/>
    <s v="entretien "/>
    <x v="1"/>
    <s v="vidange d'huile moteur 15W40 _x000a_changement des filtres a huile , gasoil et a filtre à air et hydraulique _x000a_"/>
    <s v="7883/7884"/>
    <n v="240"/>
    <n v="240"/>
    <x v="785"/>
    <m/>
    <m/>
    <x v="0"/>
    <x v="0"/>
  </r>
  <r>
    <d v="2024-07-24T00:00:00"/>
    <x v="18"/>
    <x v="1"/>
    <x v="5"/>
    <x v="16"/>
    <m/>
    <s v="mecanique "/>
    <s v="Embrayage "/>
    <x v="0"/>
    <s v="changement du cervo d'embrayage _x000a_reparation du fuile d'air comprimé"/>
    <n v="8984"/>
    <n v="1080"/>
    <n v="1080"/>
    <x v="786"/>
    <m/>
    <m/>
    <x v="0"/>
    <x v="0"/>
  </r>
  <r>
    <d v="2024-07-24T00:00:00"/>
    <x v="33"/>
    <x v="2"/>
    <x v="18"/>
    <x v="2"/>
    <m/>
    <s v="mecanique "/>
    <s v="pneus "/>
    <x v="0"/>
    <s v="changement des deux pneus REF 250/75R12"/>
    <n v="8985"/>
    <n v="540"/>
    <n v="540"/>
    <x v="785"/>
    <m/>
    <m/>
    <x v="0"/>
    <x v="0"/>
  </r>
  <r>
    <d v="2024-07-24T00:00:00"/>
    <x v="4"/>
    <x v="1"/>
    <x v="3"/>
    <x v="4"/>
    <m/>
    <s v="mecanique "/>
    <s v="pneus "/>
    <x v="0"/>
    <s v="changement des pneus REF 315/80R22,5"/>
    <n v="8986"/>
    <n v="120"/>
    <n v="120"/>
    <x v="785"/>
    <m/>
    <m/>
    <x v="0"/>
    <x v="0"/>
  </r>
  <r>
    <d v="2024-07-24T00:00:00"/>
    <x v="11"/>
    <x v="3"/>
    <x v="3"/>
    <x v="11"/>
    <m/>
    <s v="mecanique "/>
    <s v="pneu "/>
    <x v="0"/>
    <s v="changement des quatres pneux REF 315/80R22,5"/>
    <n v="8988"/>
    <n v="120"/>
    <n v="120"/>
    <x v="785"/>
    <m/>
    <m/>
    <x v="0"/>
    <x v="0"/>
  </r>
  <r>
    <d v="2024-08-01T00:00:00"/>
    <x v="3"/>
    <x v="1"/>
    <x v="3"/>
    <x v="3"/>
    <m/>
    <s v="mecanique "/>
    <s v="eclairage "/>
    <x v="0"/>
    <s v="reparation d'eclairage et changement des lampes "/>
    <n v="9176"/>
    <n v="180"/>
    <n v="180"/>
    <x v="787"/>
    <m/>
    <m/>
    <x v="0"/>
    <x v="0"/>
  </r>
  <r>
    <d v="2024-08-01T00:00:00"/>
    <x v="18"/>
    <x v="1"/>
    <x v="5"/>
    <x v="16"/>
    <m/>
    <s v="mecanique "/>
    <s v="fuite d'air de frein "/>
    <x v="0"/>
    <s v="reparation d'appareille de frein _x000a_elimination des fuites d'air comprimé _x000a_reparation d'eclairage "/>
    <m/>
    <n v="540"/>
    <n v="540"/>
    <x v="787"/>
    <m/>
    <m/>
    <x v="0"/>
    <x v="0"/>
  </r>
  <r>
    <d v="2024-08-02T00:00:00"/>
    <x v="29"/>
    <x v="2"/>
    <x v="16"/>
    <x v="2"/>
    <m/>
    <s v="mecanique "/>
    <s v="pneu "/>
    <x v="0"/>
    <s v="changement des deux pneu ref 250-15"/>
    <n v="9193"/>
    <n v="1080"/>
    <n v="1080"/>
    <x v="788"/>
    <m/>
    <m/>
    <x v="0"/>
    <x v="0"/>
  </r>
  <r>
    <d v="2024-08-02T00:00:00"/>
    <x v="28"/>
    <x v="2"/>
    <x v="13"/>
    <x v="2"/>
    <m/>
    <s v="electrique "/>
    <s v="demarrage moteur "/>
    <x v="0"/>
    <s v="reparation du probleme de demarrage moteur et changement du pompe d'alimentation gasoil"/>
    <n v="9199"/>
    <n v="120"/>
    <n v="120"/>
    <x v="789"/>
    <m/>
    <m/>
    <x v="0"/>
    <x v="0"/>
  </r>
  <r>
    <d v="2024-08-02T00:00:00"/>
    <x v="29"/>
    <x v="2"/>
    <x v="16"/>
    <x v="2"/>
    <m/>
    <s v="mecanique "/>
    <s v="changement des pneus"/>
    <x v="0"/>
    <s v="changement des deux pnues REF 250-15"/>
    <n v="9193"/>
    <n v="1080"/>
    <n v="1080"/>
    <x v="790"/>
    <m/>
    <m/>
    <x v="0"/>
    <x v="0"/>
  </r>
  <r>
    <d v="2024-08-02T00:00:00"/>
    <x v="5"/>
    <x v="3"/>
    <x v="3"/>
    <x v="5"/>
    <m/>
    <s v="electrique "/>
    <s v="demarrage moteur "/>
    <x v="0"/>
    <s v="reparation du probleme de demarrage moteur et changement du coupe courant 24V"/>
    <n v="9190"/>
    <n v="120"/>
    <n v="120"/>
    <x v="789"/>
    <m/>
    <m/>
    <x v="0"/>
    <x v="0"/>
  </r>
  <r>
    <d v="2024-08-02T00:00:00"/>
    <x v="4"/>
    <x v="1"/>
    <x v="3"/>
    <x v="4"/>
    <m/>
    <s v="mecanique "/>
    <s v="entretien "/>
    <x v="4"/>
    <s v="vidange d'huile moteur 15W40 _x000a_lavage et graissage general d'engin "/>
    <n v="9191"/>
    <n v="120"/>
    <n v="120"/>
    <x v="789"/>
    <m/>
    <m/>
    <x v="0"/>
    <x v="0"/>
  </r>
  <r>
    <d v="2024-08-02T00:00:00"/>
    <x v="28"/>
    <x v="2"/>
    <x v="13"/>
    <x v="2"/>
    <m/>
    <s v="mecanique "/>
    <s v="demarrage moteur "/>
    <x v="0"/>
    <s v="reparation du probleme de demarrage moteur et changement du pompe d'alimentation gasoil"/>
    <n v="9199"/>
    <n v="180"/>
    <n v="180"/>
    <x v="789"/>
    <m/>
    <m/>
    <x v="0"/>
    <x v="0"/>
  </r>
  <r>
    <d v="2024-08-03T00:00:00"/>
    <x v="11"/>
    <x v="3"/>
    <x v="3"/>
    <x v="11"/>
    <m/>
    <s v="mecanique "/>
    <s v="freinage "/>
    <x v="3"/>
    <s v="reparation du freinage et changement jeu de machoire de frein cote AVD plateau "/>
    <n v="9192"/>
    <n v="540"/>
    <n v="540"/>
    <x v="791"/>
    <m/>
    <m/>
    <x v="0"/>
    <x v="0"/>
  </r>
  <r>
    <d v="2024-08-03T00:00:00"/>
    <x v="20"/>
    <x v="1"/>
    <x v="6"/>
    <x v="17"/>
    <m/>
    <s v="mecanique "/>
    <s v="demarrage moteur "/>
    <x v="3"/>
    <s v="reparation du probleme de demarrage et changement du pompe à gasoil "/>
    <n v="9240"/>
    <n v="1620"/>
    <n v="1620"/>
    <x v="792"/>
    <m/>
    <m/>
    <x v="0"/>
    <x v="0"/>
  </r>
  <r>
    <d v="2024-08-08T00:00:00"/>
    <x v="4"/>
    <x v="1"/>
    <x v="3"/>
    <x v="4"/>
    <m/>
    <s v="mecanique "/>
    <s v="fuite d'air compirmé"/>
    <x v="0"/>
    <s v="reparation du fuite d'air comprime"/>
    <n v="9337"/>
    <n v="120"/>
    <n v="120"/>
    <x v="793"/>
    <m/>
    <m/>
    <x v="0"/>
    <x v="0"/>
  </r>
  <r>
    <d v="2024-08-13T00:00:00"/>
    <x v="3"/>
    <x v="1"/>
    <x v="3"/>
    <x v="3"/>
    <m/>
    <s v="mecanique "/>
    <s v="eclairage "/>
    <x v="0"/>
    <s v="reparation d'eclairage et changement des lampes _x000a_reparation du probleme de B.V"/>
    <n v="9458"/>
    <n v="120"/>
    <n v="120"/>
    <x v="794"/>
    <m/>
    <m/>
    <x v="0"/>
    <x v="0"/>
  </r>
  <r>
    <d v="2024-08-13T00:00:00"/>
    <x v="1"/>
    <x v="1"/>
    <x v="1"/>
    <x v="1"/>
    <m/>
    <s v="mecanique "/>
    <s v="Electrique "/>
    <x v="0"/>
    <s v="reparation du probleme electrique d'eclairage "/>
    <n v="9457"/>
    <n v="540"/>
    <n v="540"/>
    <x v="794"/>
    <m/>
    <m/>
    <x v="0"/>
    <x v="0"/>
  </r>
</pivotCacheRecords>
</file>

<file path=xl/pivotCache/pivotCacheRecords2.xml><?xml version="1.0" encoding="utf-8"?>
<pivotCacheRecords xmlns="http://schemas.openxmlformats.org/spreadsheetml/2006/main" xmlns:r="http://schemas.openxmlformats.org/officeDocument/2006/relationships" count="1406">
  <r>
    <x v="0"/>
    <x v="0"/>
    <s v="Voiture de fonction"/>
    <x v="0"/>
    <s v="981-A-73"/>
    <n v="25609"/>
    <x v="0"/>
    <s v="vidange"/>
    <s v="c"/>
    <x v="0"/>
    <n v="166239"/>
    <n v="120"/>
    <n v="120"/>
    <x v="0"/>
    <x v="0"/>
    <m/>
    <x v="0"/>
    <x v="0"/>
  </r>
  <r>
    <x v="1"/>
    <x v="1"/>
    <s v="Camion"/>
    <x v="1"/>
    <s v="26128-A-8"/>
    <m/>
    <x v="1"/>
    <s v="bruit anormale"/>
    <s v="c"/>
    <x v="1"/>
    <m/>
    <m/>
    <m/>
    <x v="1"/>
    <x v="0"/>
    <m/>
    <x v="0"/>
    <x v="0"/>
  </r>
  <r>
    <x v="1"/>
    <x v="2"/>
    <s v="Chariot elevateur"/>
    <x v="2"/>
    <s v="-"/>
    <m/>
    <x v="2"/>
    <s v="mal fonction"/>
    <s v="c"/>
    <x v="2"/>
    <m/>
    <m/>
    <s v=""/>
    <x v="1"/>
    <x v="0"/>
    <m/>
    <x v="0"/>
    <x v="0"/>
  </r>
  <r>
    <x v="2"/>
    <x v="3"/>
    <s v="Camion"/>
    <x v="3"/>
    <s v="22300-A-73"/>
    <m/>
    <x v="3"/>
    <s v="materielle"/>
    <s v="c"/>
    <x v="3"/>
    <m/>
    <m/>
    <m/>
    <x v="2"/>
    <x v="0"/>
    <m/>
    <x v="0"/>
    <x v="0"/>
  </r>
  <r>
    <x v="2"/>
    <x v="4"/>
    <s v="Camion"/>
    <x v="3"/>
    <s v="22299-A-73"/>
    <m/>
    <x v="3"/>
    <s v="materielle"/>
    <s v="c"/>
    <x v="3"/>
    <m/>
    <m/>
    <m/>
    <x v="2"/>
    <x v="0"/>
    <m/>
    <x v="0"/>
    <x v="0"/>
  </r>
  <r>
    <x v="3"/>
    <x v="5"/>
    <s v="Semi remorque"/>
    <x v="3"/>
    <s v="70352-A-6"/>
    <m/>
    <x v="4"/>
    <s v="bruit anormale"/>
    <s v="c"/>
    <x v="4"/>
    <m/>
    <m/>
    <m/>
    <x v="3"/>
    <x v="0"/>
    <m/>
    <x v="0"/>
    <x v="0"/>
  </r>
  <r>
    <x v="4"/>
    <x v="6"/>
    <s v="Pick up"/>
    <x v="4"/>
    <s v="22368-A-73"/>
    <m/>
    <x v="5"/>
    <s v="plaque de signale"/>
    <s v="c"/>
    <x v="5"/>
    <m/>
    <m/>
    <m/>
    <x v="4"/>
    <x v="0"/>
    <m/>
    <x v="0"/>
    <x v="0"/>
  </r>
  <r>
    <x v="4"/>
    <x v="7"/>
    <s v="Camion"/>
    <x v="5"/>
    <s v=" 11469-A-73"/>
    <m/>
    <x v="4"/>
    <s v="vidange"/>
    <s v="P"/>
    <x v="6"/>
    <m/>
    <m/>
    <m/>
    <x v="4"/>
    <x v="0"/>
    <m/>
    <x v="0"/>
    <x v="0"/>
  </r>
  <r>
    <x v="4"/>
    <x v="8"/>
    <s v="Semi remorque"/>
    <x v="6"/>
    <s v="28659-D-1 "/>
    <m/>
    <x v="5"/>
    <s v="materielle"/>
    <s v="c"/>
    <x v="7"/>
    <m/>
    <m/>
    <m/>
    <x v="4"/>
    <x v="0"/>
    <m/>
    <x v="0"/>
    <x v="0"/>
  </r>
  <r>
    <x v="4"/>
    <x v="9"/>
    <s v="Bus de transport"/>
    <x v="7"/>
    <s v="22772-A-73"/>
    <m/>
    <x v="5"/>
    <s v="materielle"/>
    <s v="c"/>
    <x v="8"/>
    <m/>
    <m/>
    <m/>
    <x v="4"/>
    <x v="0"/>
    <m/>
    <x v="0"/>
    <x v="0"/>
  </r>
  <r>
    <x v="5"/>
    <x v="10"/>
    <s v="Camion"/>
    <x v="8"/>
    <s v="25636-A-13"/>
    <m/>
    <x v="3"/>
    <s v="materielle"/>
    <s v="c"/>
    <x v="3"/>
    <m/>
    <m/>
    <m/>
    <x v="5"/>
    <x v="0"/>
    <m/>
    <x v="0"/>
    <x v="0"/>
  </r>
  <r>
    <x v="5"/>
    <x v="11"/>
    <s v="Semi remorque"/>
    <x v="3"/>
    <s v="17886-A-73 "/>
    <m/>
    <x v="2"/>
    <s v="eclairage"/>
    <s v="c"/>
    <x v="9"/>
    <m/>
    <m/>
    <m/>
    <x v="5"/>
    <x v="0"/>
    <m/>
    <x v="0"/>
    <x v="0"/>
  </r>
  <r>
    <x v="5"/>
    <x v="8"/>
    <s v="Semi remorque"/>
    <x v="6"/>
    <s v="28659-D-1 "/>
    <m/>
    <x v="2"/>
    <s v="eclairage"/>
    <s v="c"/>
    <x v="9"/>
    <m/>
    <m/>
    <m/>
    <x v="5"/>
    <x v="0"/>
    <m/>
    <x v="0"/>
    <x v="0"/>
  </r>
  <r>
    <x v="5"/>
    <x v="12"/>
    <s v="Semi remorque"/>
    <x v="3"/>
    <s v="17885-A-73 "/>
    <m/>
    <x v="2"/>
    <s v="eclairage"/>
    <s v="c"/>
    <x v="9"/>
    <m/>
    <m/>
    <m/>
    <x v="5"/>
    <x v="0"/>
    <m/>
    <x v="0"/>
    <x v="0"/>
  </r>
  <r>
    <x v="6"/>
    <x v="13"/>
    <s v="Camion"/>
    <x v="5"/>
    <s v="4703-A-73"/>
    <m/>
    <x v="6"/>
    <s v="vidange"/>
    <s v="c"/>
    <x v="10"/>
    <m/>
    <m/>
    <m/>
    <x v="6"/>
    <x v="0"/>
    <m/>
    <x v="0"/>
    <x v="0"/>
  </r>
  <r>
    <x v="7"/>
    <x v="10"/>
    <s v="Camion"/>
    <x v="8"/>
    <s v="25636-A-13"/>
    <m/>
    <x v="7"/>
    <s v="mal fonction"/>
    <s v="c"/>
    <x v="11"/>
    <m/>
    <m/>
    <m/>
    <x v="7"/>
    <x v="0"/>
    <m/>
    <x v="0"/>
    <x v="0"/>
  </r>
  <r>
    <x v="8"/>
    <x v="14"/>
    <s v="Balayeuse"/>
    <x v="9"/>
    <s v="-"/>
    <m/>
    <x v="8"/>
    <m/>
    <s v="c"/>
    <x v="12"/>
    <m/>
    <m/>
    <s v=""/>
    <x v="8"/>
    <x v="0"/>
    <m/>
    <x v="0"/>
    <x v="0"/>
  </r>
  <r>
    <x v="9"/>
    <x v="5"/>
    <s v="Semi remorque"/>
    <x v="3"/>
    <s v="70352-A-6"/>
    <m/>
    <x v="2"/>
    <s v="electrique"/>
    <s v="c"/>
    <x v="13"/>
    <m/>
    <m/>
    <m/>
    <x v="9"/>
    <x v="0"/>
    <m/>
    <x v="0"/>
    <x v="0"/>
  </r>
  <r>
    <x v="9"/>
    <x v="8"/>
    <s v="Semi remorque"/>
    <x v="6"/>
    <s v="28659-D-1 "/>
    <m/>
    <x v="4"/>
    <s v="electrique"/>
    <s v="c"/>
    <x v="14"/>
    <m/>
    <m/>
    <m/>
    <x v="9"/>
    <x v="0"/>
    <m/>
    <x v="0"/>
    <x v="0"/>
  </r>
  <r>
    <x v="9"/>
    <x v="10"/>
    <s v="Camion"/>
    <x v="8"/>
    <s v="25636-A-13"/>
    <m/>
    <x v="7"/>
    <m/>
    <s v="c"/>
    <x v="15"/>
    <n v="43792"/>
    <m/>
    <m/>
    <x v="9"/>
    <x v="0"/>
    <m/>
    <x v="0"/>
    <x v="0"/>
  </r>
  <r>
    <x v="10"/>
    <x v="15"/>
    <s v="Chariot elevateur"/>
    <x v="10"/>
    <s v="-"/>
    <m/>
    <x v="0"/>
    <s v="vidange"/>
    <s v="P"/>
    <x v="16"/>
    <m/>
    <m/>
    <s v=""/>
    <x v="10"/>
    <x v="0"/>
    <m/>
    <x v="0"/>
    <x v="0"/>
  </r>
  <r>
    <x v="11"/>
    <x v="16"/>
    <s v="Camion"/>
    <x v="5"/>
    <s v="11470-A-73"/>
    <m/>
    <x v="9"/>
    <s v="pneu"/>
    <s v="c"/>
    <x v="17"/>
    <m/>
    <m/>
    <m/>
    <x v="11"/>
    <x v="0"/>
    <m/>
    <x v="0"/>
    <x v="0"/>
  </r>
  <r>
    <x v="12"/>
    <x v="17"/>
    <s v="Bus de transport"/>
    <x v="11"/>
    <s v="18516-A-73"/>
    <m/>
    <x v="2"/>
    <s v="eclairage"/>
    <s v="c"/>
    <x v="18"/>
    <m/>
    <m/>
    <m/>
    <x v="12"/>
    <x v="0"/>
    <m/>
    <x v="0"/>
    <x v="0"/>
  </r>
  <r>
    <x v="13"/>
    <x v="11"/>
    <s v="Semi remorque"/>
    <x v="3"/>
    <s v="17886-A-73 "/>
    <m/>
    <x v="4"/>
    <s v="mal fonction"/>
    <s v="c"/>
    <x v="19"/>
    <m/>
    <m/>
    <m/>
    <x v="13"/>
    <x v="0"/>
    <m/>
    <x v="0"/>
    <x v="0"/>
  </r>
  <r>
    <x v="13"/>
    <x v="18"/>
    <s v="Camion"/>
    <x v="5"/>
    <s v="4969-A-73 "/>
    <m/>
    <x v="4"/>
    <s v="vidange"/>
    <s v="P"/>
    <x v="20"/>
    <m/>
    <m/>
    <m/>
    <x v="13"/>
    <x v="0"/>
    <m/>
    <x v="0"/>
    <x v="0"/>
  </r>
  <r>
    <x v="13"/>
    <x v="19"/>
    <s v="Chargeur"/>
    <x v="12"/>
    <s v="-"/>
    <m/>
    <x v="2"/>
    <s v="mal fonction"/>
    <s v="c"/>
    <x v="21"/>
    <m/>
    <m/>
    <s v=""/>
    <x v="13"/>
    <x v="0"/>
    <m/>
    <x v="0"/>
    <x v="0"/>
  </r>
  <r>
    <x v="13"/>
    <x v="7"/>
    <s v="Camion"/>
    <x v="5"/>
    <s v=" 11469-A-73"/>
    <m/>
    <x v="10"/>
    <m/>
    <s v="c"/>
    <x v="22"/>
    <n v="43792"/>
    <m/>
    <m/>
    <x v="13"/>
    <x v="0"/>
    <m/>
    <x v="0"/>
    <x v="0"/>
  </r>
  <r>
    <x v="14"/>
    <x v="15"/>
    <s v="Chariot elevateur"/>
    <x v="10"/>
    <s v="-"/>
    <m/>
    <x v="1"/>
    <s v="mal fonction"/>
    <s v="c"/>
    <x v="23"/>
    <m/>
    <m/>
    <s v=""/>
    <x v="14"/>
    <x v="0"/>
    <m/>
    <x v="0"/>
    <x v="0"/>
  </r>
  <r>
    <x v="15"/>
    <x v="20"/>
    <s v="Camion"/>
    <x v="6"/>
    <s v="4790-B-8"/>
    <m/>
    <x v="5"/>
    <m/>
    <s v="c"/>
    <x v="24"/>
    <m/>
    <m/>
    <m/>
    <x v="15"/>
    <x v="0"/>
    <m/>
    <x v="0"/>
    <x v="0"/>
  </r>
  <r>
    <x v="16"/>
    <x v="8"/>
    <s v="Semi remorque"/>
    <x v="6"/>
    <s v="28659-D-1 "/>
    <m/>
    <x v="11"/>
    <m/>
    <s v="c"/>
    <x v="25"/>
    <m/>
    <m/>
    <m/>
    <x v="16"/>
    <x v="0"/>
    <m/>
    <x v="0"/>
    <x v="0"/>
  </r>
  <r>
    <x v="16"/>
    <x v="7"/>
    <s v="Camion"/>
    <x v="5"/>
    <s v=" 11469-A-73"/>
    <m/>
    <x v="3"/>
    <m/>
    <s v="c"/>
    <x v="26"/>
    <m/>
    <m/>
    <m/>
    <x v="16"/>
    <x v="0"/>
    <m/>
    <x v="0"/>
    <x v="0"/>
  </r>
  <r>
    <x v="17"/>
    <x v="21"/>
    <s v="Chariot elevateur"/>
    <x v="13"/>
    <s v="-"/>
    <m/>
    <x v="0"/>
    <s v="vidange"/>
    <s v="P"/>
    <x v="27"/>
    <m/>
    <m/>
    <s v=""/>
    <x v="17"/>
    <x v="0"/>
    <m/>
    <x v="0"/>
    <x v="0"/>
  </r>
  <r>
    <x v="17"/>
    <x v="22"/>
    <s v="Chariot elevateur"/>
    <x v="14"/>
    <s v="-"/>
    <m/>
    <x v="2"/>
    <m/>
    <s v="c"/>
    <x v="28"/>
    <m/>
    <m/>
    <s v=""/>
    <x v="17"/>
    <x v="0"/>
    <m/>
    <x v="0"/>
    <x v="0"/>
  </r>
  <r>
    <x v="17"/>
    <x v="23"/>
    <s v="Semi remorque"/>
    <x v="6"/>
    <s v="706-A-73"/>
    <m/>
    <x v="9"/>
    <m/>
    <s v="c"/>
    <x v="29"/>
    <n v="43797"/>
    <m/>
    <m/>
    <x v="17"/>
    <x v="0"/>
    <m/>
    <x v="0"/>
    <x v="0"/>
  </r>
  <r>
    <x v="17"/>
    <x v="24"/>
    <s v="Voiture de fonction"/>
    <x v="0"/>
    <s v="10551-A-73"/>
    <m/>
    <x v="4"/>
    <m/>
    <s v="P"/>
    <x v="30"/>
    <n v="43797"/>
    <m/>
    <m/>
    <x v="17"/>
    <x v="0"/>
    <m/>
    <x v="0"/>
    <x v="0"/>
  </r>
  <r>
    <x v="18"/>
    <x v="16"/>
    <s v="Camion"/>
    <x v="5"/>
    <s v="11470-A-73"/>
    <m/>
    <x v="2"/>
    <m/>
    <s v="c"/>
    <x v="9"/>
    <n v="43799"/>
    <m/>
    <m/>
    <x v="18"/>
    <x v="0"/>
    <m/>
    <x v="0"/>
    <x v="0"/>
  </r>
  <r>
    <x v="18"/>
    <x v="25"/>
    <s v="Camion"/>
    <x v="1"/>
    <s v=" 22128-W-6"/>
    <m/>
    <x v="4"/>
    <m/>
    <s v="c"/>
    <x v="31"/>
    <n v="43799"/>
    <m/>
    <m/>
    <x v="18"/>
    <x v="0"/>
    <m/>
    <x v="0"/>
    <x v="0"/>
  </r>
  <r>
    <x v="18"/>
    <x v="20"/>
    <s v="Camion"/>
    <x v="6"/>
    <s v="4790-B-8"/>
    <m/>
    <x v="11"/>
    <m/>
    <s v="c"/>
    <x v="32"/>
    <n v="43801"/>
    <m/>
    <m/>
    <x v="18"/>
    <x v="0"/>
    <m/>
    <x v="0"/>
    <x v="0"/>
  </r>
  <r>
    <x v="18"/>
    <x v="16"/>
    <s v="Camion"/>
    <x v="5"/>
    <s v="11470-A-73"/>
    <m/>
    <x v="12"/>
    <m/>
    <s v="c"/>
    <x v="33"/>
    <n v="43805"/>
    <m/>
    <m/>
    <x v="18"/>
    <x v="0"/>
    <m/>
    <x v="0"/>
    <x v="0"/>
  </r>
  <r>
    <x v="18"/>
    <x v="26"/>
    <s v="Chariot elevateur"/>
    <x v="15"/>
    <s v="-"/>
    <n v="22184"/>
    <x v="8"/>
    <m/>
    <s v="c"/>
    <x v="34"/>
    <m/>
    <m/>
    <m/>
    <x v="18"/>
    <x v="0"/>
    <m/>
    <x v="0"/>
    <x v="0"/>
  </r>
  <r>
    <x v="19"/>
    <x v="11"/>
    <s v="Semi remorque"/>
    <x v="3"/>
    <s v="17886-A-73 "/>
    <m/>
    <x v="2"/>
    <m/>
    <s v="c"/>
    <x v="9"/>
    <n v="43801"/>
    <m/>
    <m/>
    <x v="19"/>
    <x v="0"/>
    <m/>
    <x v="0"/>
    <x v="0"/>
  </r>
  <r>
    <x v="20"/>
    <x v="15"/>
    <s v="Chariot elevateur"/>
    <x v="10"/>
    <s v="-"/>
    <m/>
    <x v="0"/>
    <m/>
    <s v="P"/>
    <x v="35"/>
    <m/>
    <m/>
    <m/>
    <x v="20"/>
    <x v="0"/>
    <m/>
    <x v="0"/>
    <x v="0"/>
  </r>
  <r>
    <x v="21"/>
    <x v="6"/>
    <s v="Pick up"/>
    <x v="4"/>
    <s v="22368-A-73"/>
    <m/>
    <x v="13"/>
    <m/>
    <s v="c"/>
    <x v="36"/>
    <n v="43803"/>
    <m/>
    <m/>
    <x v="21"/>
    <x v="0"/>
    <m/>
    <x v="0"/>
    <x v="0"/>
  </r>
  <r>
    <x v="22"/>
    <x v="26"/>
    <s v="Chariot elevateur"/>
    <x v="15"/>
    <s v="-"/>
    <m/>
    <x v="2"/>
    <m/>
    <s v="c"/>
    <x v="37"/>
    <m/>
    <m/>
    <s v=""/>
    <x v="22"/>
    <x v="0"/>
    <m/>
    <x v="0"/>
    <x v="0"/>
  </r>
  <r>
    <x v="22"/>
    <x v="27"/>
    <s v="Voiture de fonction"/>
    <x v="0"/>
    <s v=" 9660 -A-73"/>
    <m/>
    <x v="9"/>
    <m/>
    <s v="c"/>
    <x v="38"/>
    <n v="43804"/>
    <m/>
    <m/>
    <x v="22"/>
    <x v="0"/>
    <m/>
    <x v="0"/>
    <x v="0"/>
  </r>
  <r>
    <x v="22"/>
    <x v="18"/>
    <s v="Camion"/>
    <x v="5"/>
    <s v="4969-A-73 "/>
    <m/>
    <x v="14"/>
    <s v="peinture "/>
    <s v="c"/>
    <x v="39"/>
    <s v="141027_x000a_141016_x000a_141020_x000a_141019_x000a_141019_x000a_141018_x000a_141025_x000a_141029_x000a_141035_x000a_141040_x000a_141041_x000a_141043_x000a_141278_x000a_141273_x000a_141270_x000a_141269"/>
    <s v="8550_x000a_16 jours"/>
    <s v="14280_x000a_26 jours"/>
    <x v="23"/>
    <x v="0"/>
    <m/>
    <x v="0"/>
    <x v="0"/>
  </r>
  <r>
    <x v="23"/>
    <x v="5"/>
    <s v="Semi remorque"/>
    <x v="3"/>
    <s v="70352-A-6"/>
    <m/>
    <x v="2"/>
    <m/>
    <s v="c"/>
    <x v="9"/>
    <n v="43805"/>
    <m/>
    <m/>
    <x v="24"/>
    <x v="0"/>
    <m/>
    <x v="0"/>
    <x v="0"/>
  </r>
  <r>
    <x v="24"/>
    <x v="28"/>
    <s v="Chariot elevateur"/>
    <x v="13"/>
    <s v="-"/>
    <m/>
    <x v="0"/>
    <m/>
    <s v="P"/>
    <x v="16"/>
    <m/>
    <m/>
    <s v=""/>
    <x v="25"/>
    <x v="0"/>
    <m/>
    <x v="0"/>
    <x v="0"/>
  </r>
  <r>
    <x v="24"/>
    <x v="19"/>
    <s v="Chargeur"/>
    <x v="12"/>
    <s v="-"/>
    <m/>
    <x v="2"/>
    <m/>
    <s v="c"/>
    <x v="40"/>
    <m/>
    <m/>
    <s v=""/>
    <x v="25"/>
    <x v="0"/>
    <m/>
    <x v="0"/>
    <x v="0"/>
  </r>
  <r>
    <x v="24"/>
    <x v="20"/>
    <s v="Camion"/>
    <x v="6"/>
    <s v="4790-B-8"/>
    <m/>
    <x v="2"/>
    <m/>
    <s v="c"/>
    <x v="41"/>
    <n v="43806"/>
    <m/>
    <m/>
    <x v="25"/>
    <x v="0"/>
    <m/>
    <x v="0"/>
    <x v="0"/>
  </r>
  <r>
    <x v="25"/>
    <x v="29"/>
    <s v="Chariot elevateur"/>
    <x v="16"/>
    <s v="-"/>
    <m/>
    <x v="2"/>
    <m/>
    <s v="c"/>
    <x v="42"/>
    <m/>
    <m/>
    <s v=""/>
    <x v="26"/>
    <x v="0"/>
    <m/>
    <x v="0"/>
    <x v="0"/>
  </r>
  <r>
    <x v="25"/>
    <x v="23"/>
    <s v="Semi remorque"/>
    <x v="6"/>
    <s v="706-A-73"/>
    <m/>
    <x v="15"/>
    <m/>
    <s v="c"/>
    <x v="43"/>
    <n v="43808"/>
    <m/>
    <m/>
    <x v="26"/>
    <x v="0"/>
    <m/>
    <x v="0"/>
    <x v="0"/>
  </r>
  <r>
    <x v="25"/>
    <x v="25"/>
    <s v="Camion"/>
    <x v="1"/>
    <s v=" 22128-W-6"/>
    <m/>
    <x v="12"/>
    <m/>
    <s v="c"/>
    <x v="44"/>
    <n v="43809"/>
    <m/>
    <m/>
    <x v="26"/>
    <x v="0"/>
    <m/>
    <x v="0"/>
    <x v="0"/>
  </r>
  <r>
    <x v="26"/>
    <x v="11"/>
    <s v="Semi remorque"/>
    <x v="3"/>
    <s v="17886-A-73 "/>
    <m/>
    <x v="9"/>
    <m/>
    <s v="c"/>
    <x v="45"/>
    <n v="43809"/>
    <m/>
    <m/>
    <x v="27"/>
    <x v="0"/>
    <m/>
    <x v="0"/>
    <x v="0"/>
  </r>
  <r>
    <x v="26"/>
    <x v="13"/>
    <s v="Camion"/>
    <x v="5"/>
    <s v="4703-A-73"/>
    <m/>
    <x v="2"/>
    <m/>
    <s v="c"/>
    <x v="9"/>
    <n v="43809"/>
    <m/>
    <m/>
    <x v="27"/>
    <x v="0"/>
    <m/>
    <x v="0"/>
    <x v="0"/>
  </r>
  <r>
    <x v="26"/>
    <x v="20"/>
    <s v="Camion"/>
    <x v="6"/>
    <s v="4790-B-8"/>
    <m/>
    <x v="11"/>
    <m/>
    <s v="c"/>
    <x v="46"/>
    <m/>
    <m/>
    <m/>
    <x v="27"/>
    <x v="0"/>
    <m/>
    <x v="0"/>
    <x v="0"/>
  </r>
  <r>
    <x v="27"/>
    <x v="13"/>
    <s v="Camion"/>
    <x v="5"/>
    <s v="4703-A-73"/>
    <m/>
    <x v="0"/>
    <m/>
    <s v="P"/>
    <x v="47"/>
    <m/>
    <m/>
    <m/>
    <x v="28"/>
    <x v="0"/>
    <m/>
    <x v="0"/>
    <x v="0"/>
  </r>
  <r>
    <x v="27"/>
    <x v="7"/>
    <s v="Camion"/>
    <x v="5"/>
    <s v=" 11469-A-73"/>
    <m/>
    <x v="2"/>
    <m/>
    <s v="c"/>
    <x v="48"/>
    <m/>
    <m/>
    <m/>
    <x v="28"/>
    <x v="0"/>
    <m/>
    <x v="0"/>
    <x v="0"/>
  </r>
  <r>
    <x v="28"/>
    <x v="22"/>
    <s v="Chariot elevateur"/>
    <x v="14"/>
    <s v="-"/>
    <m/>
    <x v="4"/>
    <m/>
    <s v="c"/>
    <x v="49"/>
    <m/>
    <m/>
    <s v=""/>
    <x v="29"/>
    <x v="0"/>
    <m/>
    <x v="0"/>
    <x v="0"/>
  </r>
  <r>
    <x v="28"/>
    <x v="15"/>
    <s v="Chariot elevateur"/>
    <x v="10"/>
    <s v="-"/>
    <m/>
    <x v="0"/>
    <m/>
    <s v="P"/>
    <x v="16"/>
    <m/>
    <m/>
    <s v=""/>
    <x v="29"/>
    <x v="0"/>
    <m/>
    <x v="0"/>
    <x v="0"/>
  </r>
  <r>
    <x v="28"/>
    <x v="1"/>
    <s v="Camion"/>
    <x v="1"/>
    <s v="26128-A-8"/>
    <m/>
    <x v="2"/>
    <m/>
    <s v="c"/>
    <x v="9"/>
    <m/>
    <m/>
    <m/>
    <x v="29"/>
    <x v="0"/>
    <m/>
    <x v="0"/>
    <x v="0"/>
  </r>
  <r>
    <x v="28"/>
    <x v="29"/>
    <s v="Chariot elevateur"/>
    <x v="16"/>
    <s v="-"/>
    <m/>
    <x v="0"/>
    <m/>
    <s v="c"/>
    <x v="50"/>
    <m/>
    <m/>
    <m/>
    <x v="29"/>
    <x v="0"/>
    <m/>
    <x v="0"/>
    <x v="0"/>
  </r>
  <r>
    <x v="28"/>
    <x v="21"/>
    <s v="Chariot elevateur"/>
    <x v="13"/>
    <s v="-"/>
    <n v="22180"/>
    <x v="0"/>
    <m/>
    <s v="P"/>
    <x v="51"/>
    <m/>
    <m/>
    <m/>
    <x v="29"/>
    <x v="0"/>
    <m/>
    <x v="0"/>
    <x v="0"/>
  </r>
  <r>
    <x v="29"/>
    <x v="7"/>
    <s v="Camion"/>
    <x v="5"/>
    <s v=" 11469-A-73"/>
    <m/>
    <x v="2"/>
    <m/>
    <s v="c"/>
    <x v="52"/>
    <m/>
    <m/>
    <m/>
    <x v="30"/>
    <x v="0"/>
    <m/>
    <x v="0"/>
    <x v="0"/>
  </r>
  <r>
    <x v="29"/>
    <x v="8"/>
    <s v="Semi remorque"/>
    <x v="6"/>
    <s v="28659-D-1 "/>
    <m/>
    <x v="9"/>
    <m/>
    <s v="c"/>
    <x v="53"/>
    <m/>
    <m/>
    <m/>
    <x v="30"/>
    <x v="0"/>
    <m/>
    <x v="0"/>
    <x v="0"/>
  </r>
  <r>
    <x v="29"/>
    <x v="21"/>
    <s v="Chariot elevateur"/>
    <x v="13"/>
    <s v="-"/>
    <n v="22181"/>
    <x v="2"/>
    <m/>
    <s v="c"/>
    <x v="54"/>
    <m/>
    <m/>
    <m/>
    <x v="30"/>
    <x v="0"/>
    <m/>
    <x v="0"/>
    <x v="0"/>
  </r>
  <r>
    <x v="30"/>
    <x v="3"/>
    <s v="Camion"/>
    <x v="3"/>
    <s v="22300-A-73"/>
    <m/>
    <x v="0"/>
    <m/>
    <s v="P"/>
    <x v="55"/>
    <m/>
    <m/>
    <m/>
    <x v="31"/>
    <x v="0"/>
    <m/>
    <x v="0"/>
    <x v="0"/>
  </r>
  <r>
    <x v="31"/>
    <x v="17"/>
    <s v="Bus de transport"/>
    <x v="11"/>
    <s v="18516-A-73"/>
    <m/>
    <x v="16"/>
    <m/>
    <s v="c"/>
    <x v="38"/>
    <m/>
    <m/>
    <m/>
    <x v="32"/>
    <x v="0"/>
    <m/>
    <x v="0"/>
    <x v="0"/>
  </r>
  <r>
    <x v="31"/>
    <x v="4"/>
    <s v="Camion"/>
    <x v="3"/>
    <s v="22299-A-73"/>
    <m/>
    <x v="0"/>
    <m/>
    <s v="P"/>
    <x v="55"/>
    <m/>
    <m/>
    <m/>
    <x v="32"/>
    <x v="0"/>
    <m/>
    <x v="0"/>
    <x v="0"/>
  </r>
  <r>
    <x v="31"/>
    <x v="2"/>
    <s v="Chariot elevateur"/>
    <x v="2"/>
    <s v="-"/>
    <n v="22182"/>
    <x v="2"/>
    <m/>
    <s v="c"/>
    <x v="56"/>
    <m/>
    <m/>
    <m/>
    <x v="32"/>
    <x v="0"/>
    <m/>
    <x v="0"/>
    <x v="0"/>
  </r>
  <r>
    <x v="31"/>
    <x v="21"/>
    <s v="Chariot elevateur"/>
    <x v="13"/>
    <s v="-"/>
    <n v="22183"/>
    <x v="2"/>
    <m/>
    <s v="c"/>
    <x v="57"/>
    <m/>
    <m/>
    <m/>
    <x v="32"/>
    <x v="0"/>
    <m/>
    <x v="0"/>
    <x v="0"/>
  </r>
  <r>
    <x v="32"/>
    <x v="11"/>
    <s v="Semi remorque"/>
    <x v="3"/>
    <s v="17886-A-73 "/>
    <m/>
    <x v="2"/>
    <m/>
    <s v="c"/>
    <x v="48"/>
    <m/>
    <m/>
    <m/>
    <x v="33"/>
    <x v="0"/>
    <m/>
    <x v="0"/>
    <x v="0"/>
  </r>
  <r>
    <x v="32"/>
    <x v="30"/>
    <s v="Voiture de fonction"/>
    <x v="17"/>
    <s v="42174A6"/>
    <n v="22488"/>
    <x v="14"/>
    <m/>
    <s v="c"/>
    <x v="58"/>
    <s v="142344_x000a_142314_x000a_142315_x000a_142121_x000a_143200_x000a_143177_x000a_133351_x000a_143359_x000a_143388_x000a_143365_x000a_142338_x000a_142335_x000a_142326_x000a_143164_x000a_142345"/>
    <n v="8550"/>
    <s v="34200_x000a_60 jours"/>
    <x v="34"/>
    <x v="0"/>
    <m/>
    <x v="0"/>
    <x v="0"/>
  </r>
  <r>
    <x v="33"/>
    <x v="31"/>
    <s v="Voiture de fonction"/>
    <x v="0"/>
    <s v="50313-A-6"/>
    <m/>
    <x v="0"/>
    <m/>
    <s v="P"/>
    <x v="55"/>
    <m/>
    <m/>
    <m/>
    <x v="35"/>
    <x v="0"/>
    <m/>
    <x v="0"/>
    <x v="0"/>
  </r>
  <r>
    <x v="34"/>
    <x v="1"/>
    <s v="Camion"/>
    <x v="1"/>
    <s v="26128-A-8"/>
    <m/>
    <x v="17"/>
    <m/>
    <s v="c"/>
    <x v="59"/>
    <m/>
    <m/>
    <m/>
    <x v="36"/>
    <x v="0"/>
    <m/>
    <x v="0"/>
    <x v="0"/>
  </r>
  <r>
    <x v="34"/>
    <x v="18"/>
    <s v="Camion"/>
    <x v="5"/>
    <s v="4969-A-73 "/>
    <m/>
    <x v="0"/>
    <m/>
    <m/>
    <x v="60"/>
    <m/>
    <m/>
    <s v=""/>
    <x v="36"/>
    <x v="0"/>
    <m/>
    <x v="0"/>
    <x v="0"/>
  </r>
  <r>
    <x v="34"/>
    <x v="15"/>
    <s v="Chariot elevateur"/>
    <x v="10"/>
    <s v="-"/>
    <n v="22187"/>
    <x v="0"/>
    <m/>
    <s v="c"/>
    <x v="50"/>
    <m/>
    <m/>
    <m/>
    <x v="36"/>
    <x v="0"/>
    <m/>
    <x v="0"/>
    <x v="0"/>
  </r>
  <r>
    <x v="35"/>
    <x v="32"/>
    <s v="Chariot elevateur"/>
    <x v="2"/>
    <s v="-"/>
    <n v="22185"/>
    <x v="0"/>
    <m/>
    <s v="c"/>
    <x v="60"/>
    <m/>
    <m/>
    <m/>
    <x v="37"/>
    <x v="0"/>
    <m/>
    <x v="0"/>
    <x v="0"/>
  </r>
  <r>
    <x v="36"/>
    <x v="4"/>
    <s v="Camion"/>
    <x v="3"/>
    <s v="22299-A-73"/>
    <m/>
    <x v="2"/>
    <m/>
    <s v="c"/>
    <x v="37"/>
    <m/>
    <m/>
    <m/>
    <x v="38"/>
    <x v="0"/>
    <m/>
    <x v="0"/>
    <x v="0"/>
  </r>
  <r>
    <x v="36"/>
    <x v="33"/>
    <s v="Chariot elevateur"/>
    <x v="18"/>
    <s v="-"/>
    <n v="22186"/>
    <x v="0"/>
    <m/>
    <s v="c"/>
    <x v="60"/>
    <m/>
    <m/>
    <m/>
    <x v="38"/>
    <x v="0"/>
    <m/>
    <x v="0"/>
    <x v="0"/>
  </r>
  <r>
    <x v="37"/>
    <x v="19"/>
    <s v="Chargeur"/>
    <x v="12"/>
    <s v="-"/>
    <n v="22188"/>
    <x v="0"/>
    <m/>
    <s v="c"/>
    <x v="61"/>
    <m/>
    <m/>
    <m/>
    <x v="39"/>
    <x v="0"/>
    <m/>
    <x v="0"/>
    <x v="0"/>
  </r>
  <r>
    <x v="38"/>
    <x v="21"/>
    <s v="Chariot elevateur"/>
    <x v="13"/>
    <s v="-"/>
    <n v="22189"/>
    <x v="0"/>
    <m/>
    <s v="c"/>
    <x v="50"/>
    <m/>
    <m/>
    <m/>
    <x v="40"/>
    <x v="0"/>
    <m/>
    <x v="0"/>
    <x v="0"/>
  </r>
  <r>
    <x v="39"/>
    <x v="23"/>
    <s v="Semi remorque"/>
    <x v="6"/>
    <s v="706-A-73"/>
    <m/>
    <x v="4"/>
    <m/>
    <s v="c"/>
    <x v="62"/>
    <s v="141268_x000a_141277"/>
    <n v="2850"/>
    <n v="5180"/>
    <x v="41"/>
    <x v="0"/>
    <m/>
    <x v="0"/>
    <x v="0"/>
  </r>
  <r>
    <x v="40"/>
    <x v="22"/>
    <s v="Chariot elevateur"/>
    <x v="14"/>
    <s v="-"/>
    <n v="22190"/>
    <x v="0"/>
    <m/>
    <s v="P"/>
    <x v="63"/>
    <m/>
    <m/>
    <m/>
    <x v="42"/>
    <x v="0"/>
    <m/>
    <x v="0"/>
    <x v="0"/>
  </r>
  <r>
    <x v="40"/>
    <x v="29"/>
    <s v="Chariot elevateur"/>
    <x v="16"/>
    <s v="-"/>
    <n v="22191"/>
    <x v="0"/>
    <m/>
    <s v="P"/>
    <x v="64"/>
    <m/>
    <m/>
    <m/>
    <x v="42"/>
    <x v="0"/>
    <m/>
    <x v="0"/>
    <x v="0"/>
  </r>
  <r>
    <x v="41"/>
    <x v="12"/>
    <s v="Semi remorque"/>
    <x v="3"/>
    <s v="17885-A-73 "/>
    <m/>
    <x v="0"/>
    <m/>
    <s v="P"/>
    <x v="55"/>
    <m/>
    <m/>
    <m/>
    <x v="43"/>
    <x v="0"/>
    <m/>
    <x v="0"/>
    <x v="0"/>
  </r>
  <r>
    <x v="42"/>
    <x v="8"/>
    <s v="Semi remorque"/>
    <x v="6"/>
    <s v="28659-D-1 "/>
    <m/>
    <x v="0"/>
    <m/>
    <s v="P"/>
    <x v="61"/>
    <m/>
    <m/>
    <m/>
    <x v="23"/>
    <x v="0"/>
    <m/>
    <x v="0"/>
    <x v="0"/>
  </r>
  <r>
    <x v="42"/>
    <x v="16"/>
    <s v="Camion"/>
    <x v="5"/>
    <s v="11470-A-73"/>
    <m/>
    <x v="2"/>
    <m/>
    <s v="c"/>
    <x v="48"/>
    <m/>
    <m/>
    <m/>
    <x v="23"/>
    <x v="0"/>
    <m/>
    <x v="0"/>
    <x v="0"/>
  </r>
  <r>
    <x v="43"/>
    <x v="21"/>
    <s v="Chariot elevateur"/>
    <x v="13"/>
    <s v="-"/>
    <n v="22192"/>
    <x v="0"/>
    <m/>
    <s v="P"/>
    <x v="63"/>
    <n v="141274"/>
    <n v="120"/>
    <n v="120"/>
    <x v="44"/>
    <x v="0"/>
    <m/>
    <x v="0"/>
    <x v="0"/>
  </r>
  <r>
    <x v="44"/>
    <x v="8"/>
    <s v="Semi remorque"/>
    <x v="6"/>
    <s v="28659-D-1 "/>
    <m/>
    <x v="2"/>
    <m/>
    <s v="c"/>
    <x v="65"/>
    <m/>
    <m/>
    <m/>
    <x v="45"/>
    <x v="0"/>
    <m/>
    <x v="0"/>
    <x v="0"/>
  </r>
  <r>
    <x v="44"/>
    <x v="9"/>
    <s v="Bus de transport"/>
    <x v="7"/>
    <s v="22772-A-73"/>
    <m/>
    <x v="0"/>
    <m/>
    <s v="P"/>
    <x v="55"/>
    <m/>
    <m/>
    <m/>
    <x v="45"/>
    <x v="0"/>
    <m/>
    <x v="0"/>
    <x v="0"/>
  </r>
  <r>
    <x v="44"/>
    <x v="17"/>
    <s v="Bus de transport"/>
    <x v="11"/>
    <s v="18516-A-73"/>
    <n v="22462"/>
    <x v="11"/>
    <m/>
    <s v="c"/>
    <x v="66"/>
    <m/>
    <m/>
    <m/>
    <x v="45"/>
    <x v="0"/>
    <m/>
    <x v="0"/>
    <x v="0"/>
  </r>
  <r>
    <x v="44"/>
    <x v="34"/>
    <s v="Chariot elevateur"/>
    <x v="19"/>
    <s v="-"/>
    <n v="22194"/>
    <x v="0"/>
    <m/>
    <s v="P"/>
    <x v="67"/>
    <s v="141276_x000a_141327_x000a_141319"/>
    <n v="180"/>
    <n v="180"/>
    <x v="45"/>
    <x v="0"/>
    <m/>
    <x v="0"/>
    <x v="0"/>
  </r>
  <r>
    <x v="45"/>
    <x v="22"/>
    <s v="Chariot elevateur"/>
    <x v="14"/>
    <s v="-"/>
    <n v="22193"/>
    <x v="18"/>
    <m/>
    <s v="c"/>
    <x v="68"/>
    <n v="141274"/>
    <n v="120"/>
    <n v="120"/>
    <x v="41"/>
    <x v="0"/>
    <m/>
    <x v="0"/>
    <x v="0"/>
  </r>
  <r>
    <x v="46"/>
    <x v="7"/>
    <s v="Camion"/>
    <x v="5"/>
    <s v=" 11469-A-73"/>
    <m/>
    <x v="2"/>
    <m/>
    <s v="c"/>
    <x v="69"/>
    <m/>
    <m/>
    <m/>
    <x v="46"/>
    <x v="0"/>
    <m/>
    <x v="0"/>
    <x v="0"/>
  </r>
  <r>
    <x v="46"/>
    <x v="15"/>
    <s v="Chariot elevateur"/>
    <x v="10"/>
    <s v="-"/>
    <n v="22195"/>
    <x v="0"/>
    <m/>
    <s v="P"/>
    <x v="70"/>
    <n v="141282"/>
    <n v="60"/>
    <n v="60"/>
    <x v="46"/>
    <x v="0"/>
    <m/>
    <x v="0"/>
    <x v="0"/>
  </r>
  <r>
    <x v="47"/>
    <x v="10"/>
    <s v="Camion"/>
    <x v="8"/>
    <s v="25636-A-13"/>
    <m/>
    <x v="9"/>
    <m/>
    <s v="c"/>
    <x v="71"/>
    <m/>
    <m/>
    <m/>
    <x v="47"/>
    <x v="0"/>
    <m/>
    <x v="0"/>
    <x v="0"/>
  </r>
  <r>
    <x v="47"/>
    <x v="9"/>
    <s v="Bus de transport"/>
    <x v="7"/>
    <s v="22772-A-73"/>
    <m/>
    <x v="2"/>
    <m/>
    <s v="c"/>
    <x v="48"/>
    <m/>
    <m/>
    <m/>
    <x v="47"/>
    <x v="0"/>
    <m/>
    <x v="0"/>
    <x v="0"/>
  </r>
  <r>
    <x v="48"/>
    <x v="13"/>
    <s v="Camion"/>
    <x v="5"/>
    <s v="4703-A-73"/>
    <m/>
    <x v="2"/>
    <m/>
    <s v="c"/>
    <x v="72"/>
    <s v="142330_x000a_141294_x000a_141302_x000a_141311_x000a_141291"/>
    <s v="2280_x000a_4 jours"/>
    <s v="3420_x000a_6 jours"/>
    <x v="48"/>
    <x v="0"/>
    <m/>
    <x v="0"/>
    <x v="0"/>
  </r>
  <r>
    <x v="48"/>
    <x v="2"/>
    <s v="Chariot elevateur"/>
    <x v="2"/>
    <s v="-"/>
    <n v="22196"/>
    <x v="2"/>
    <m/>
    <s v="c"/>
    <x v="73"/>
    <s v="141290_x000a_141295"/>
    <n v="360"/>
    <n v="360"/>
    <x v="49"/>
    <x v="0"/>
    <m/>
    <x v="0"/>
    <x v="0"/>
  </r>
  <r>
    <x v="49"/>
    <x v="20"/>
    <s v="Camion"/>
    <x v="6"/>
    <s v="4790-B-8"/>
    <n v="22481"/>
    <x v="11"/>
    <m/>
    <s v="c"/>
    <x v="74"/>
    <n v="141293"/>
    <s v="1710_x000a_3jours"/>
    <s v="1710_x000a_3jours"/>
    <x v="50"/>
    <x v="0"/>
    <m/>
    <x v="0"/>
    <x v="0"/>
  </r>
  <r>
    <x v="50"/>
    <x v="4"/>
    <s v="Camion"/>
    <x v="3"/>
    <s v="22299-A-73"/>
    <m/>
    <x v="2"/>
    <m/>
    <s v="c"/>
    <x v="9"/>
    <m/>
    <m/>
    <m/>
    <x v="51"/>
    <x v="0"/>
    <m/>
    <x v="0"/>
    <x v="0"/>
  </r>
  <r>
    <x v="50"/>
    <x v="28"/>
    <s v="Chariot elevateur"/>
    <x v="13"/>
    <s v="-"/>
    <n v="22197"/>
    <x v="0"/>
    <m/>
    <s v="c"/>
    <x v="75"/>
    <n v="142306"/>
    <n v="30"/>
    <n v="30"/>
    <x v="51"/>
    <x v="0"/>
    <m/>
    <x v="0"/>
    <x v="0"/>
  </r>
  <r>
    <x v="51"/>
    <x v="5"/>
    <s v="Semi remorque"/>
    <x v="3"/>
    <s v="70352-A-6"/>
    <n v="22476"/>
    <x v="4"/>
    <s v="injection gasoil "/>
    <s v="c"/>
    <x v="76"/>
    <s v="142305_x000a_143110_x000a_142349_x000a_142343_x000a_142305_x000a_142367"/>
    <n v="5000"/>
    <n v="6840"/>
    <x v="52"/>
    <x v="0"/>
    <m/>
    <x v="0"/>
    <x v="0"/>
  </r>
  <r>
    <x v="52"/>
    <x v="32"/>
    <s v="Chariot elevateur"/>
    <x v="2"/>
    <s v="-"/>
    <n v="22199"/>
    <x v="2"/>
    <m/>
    <s v="c"/>
    <x v="37"/>
    <n v="141280"/>
    <n v="60"/>
    <n v="60"/>
    <x v="53"/>
    <x v="0"/>
    <m/>
    <x v="0"/>
    <x v="0"/>
  </r>
  <r>
    <x v="53"/>
    <x v="9"/>
    <s v="Bus de transport"/>
    <x v="7"/>
    <s v="22772-A-73"/>
    <n v="22470"/>
    <x v="0"/>
    <m/>
    <s v="P"/>
    <x v="55"/>
    <m/>
    <m/>
    <m/>
    <x v="54"/>
    <x v="0"/>
    <m/>
    <x v="0"/>
    <x v="0"/>
  </r>
  <r>
    <x v="53"/>
    <x v="23"/>
    <s v="Semi remorque"/>
    <x v="6"/>
    <s v="706-A-73"/>
    <n v="22474"/>
    <x v="19"/>
    <m/>
    <s v="c"/>
    <x v="77"/>
    <m/>
    <m/>
    <m/>
    <x v="54"/>
    <x v="0"/>
    <m/>
    <x v="0"/>
    <x v="0"/>
  </r>
  <r>
    <x v="53"/>
    <x v="29"/>
    <s v="Chariot elevateur"/>
    <x v="16"/>
    <s v="-"/>
    <n v="22401"/>
    <x v="2"/>
    <m/>
    <s v="c"/>
    <x v="78"/>
    <n v="142320"/>
    <n v="60"/>
    <n v="60"/>
    <x v="54"/>
    <x v="0"/>
    <m/>
    <x v="0"/>
    <x v="0"/>
  </r>
  <r>
    <x v="53"/>
    <x v="35"/>
    <s v="Chariot elevateur"/>
    <x v="13"/>
    <s v="-"/>
    <n v="22402"/>
    <x v="0"/>
    <m/>
    <s v="P"/>
    <x v="79"/>
    <s v="142322_x000a_142325"/>
    <n v="30"/>
    <n v="30"/>
    <x v="54"/>
    <x v="0"/>
    <m/>
    <x v="0"/>
    <x v="0"/>
  </r>
  <r>
    <x v="54"/>
    <x v="1"/>
    <s v="Camion"/>
    <x v="1"/>
    <s v="26128-A-8"/>
    <m/>
    <x v="16"/>
    <m/>
    <s v="c"/>
    <x v="80"/>
    <m/>
    <m/>
    <m/>
    <x v="48"/>
    <x v="0"/>
    <m/>
    <x v="0"/>
    <x v="0"/>
  </r>
  <r>
    <x v="54"/>
    <x v="17"/>
    <s v="Bus de transport"/>
    <x v="11"/>
    <s v="18516-A-73"/>
    <n v="22472"/>
    <x v="2"/>
    <m/>
    <s v="c"/>
    <x v="81"/>
    <m/>
    <m/>
    <m/>
    <x v="48"/>
    <x v="0"/>
    <m/>
    <x v="0"/>
    <x v="0"/>
  </r>
  <r>
    <x v="54"/>
    <x v="16"/>
    <s v="Camion"/>
    <x v="5"/>
    <s v="11470-A-73"/>
    <n v="22478"/>
    <x v="4"/>
    <m/>
    <s v="c"/>
    <x v="82"/>
    <s v="142339_x000a_142342"/>
    <n v="1470"/>
    <n v="1470"/>
    <x v="55"/>
    <x v="0"/>
    <m/>
    <x v="0"/>
    <x v="0"/>
  </r>
  <r>
    <x v="55"/>
    <x v="4"/>
    <s v="Camion"/>
    <x v="3"/>
    <s v="22299-A-73"/>
    <n v="22473"/>
    <x v="2"/>
    <m/>
    <s v="c"/>
    <x v="81"/>
    <m/>
    <m/>
    <m/>
    <x v="56"/>
    <x v="0"/>
    <m/>
    <x v="0"/>
    <x v="0"/>
  </r>
  <r>
    <x v="56"/>
    <x v="22"/>
    <s v="Chariot elevateur"/>
    <x v="14"/>
    <s v="-"/>
    <n v="22409"/>
    <x v="4"/>
    <m/>
    <s v="c"/>
    <x v="83"/>
    <m/>
    <m/>
    <m/>
    <x v="57"/>
    <x v="0"/>
    <m/>
    <x v="0"/>
    <x v="0"/>
  </r>
  <r>
    <x v="57"/>
    <x v="9"/>
    <s v="Bus de transport"/>
    <x v="7"/>
    <s v="22772-A-73"/>
    <n v="22477"/>
    <x v="14"/>
    <m/>
    <s v="c"/>
    <x v="84"/>
    <n v="142340"/>
    <n v="120"/>
    <n v="120"/>
    <x v="58"/>
    <x v="0"/>
    <m/>
    <x v="0"/>
    <x v="0"/>
  </r>
  <r>
    <x v="58"/>
    <x v="2"/>
    <s v="Chariot elevateur"/>
    <x v="2"/>
    <s v="-"/>
    <n v="22403"/>
    <x v="2"/>
    <m/>
    <s v="c"/>
    <x v="85"/>
    <s v="143109_x000a_143102"/>
    <n v="570"/>
    <n v="570"/>
    <x v="55"/>
    <x v="0"/>
    <m/>
    <x v="0"/>
    <x v="0"/>
  </r>
  <r>
    <x v="59"/>
    <x v="20"/>
    <s v="Camion"/>
    <x v="20"/>
    <s v="4790-B-8"/>
    <n v="22480"/>
    <x v="2"/>
    <m/>
    <s v="c"/>
    <x v="86"/>
    <n v="143106"/>
    <n v="120"/>
    <n v="120"/>
    <x v="59"/>
    <x v="0"/>
    <m/>
    <x v="0"/>
    <x v="0"/>
  </r>
  <r>
    <x v="59"/>
    <x v="14"/>
    <s v="Balayeuse"/>
    <x v="9"/>
    <s v="-"/>
    <n v="22404"/>
    <x v="20"/>
    <m/>
    <s v="c"/>
    <x v="87"/>
    <n v="143104"/>
    <n v="60"/>
    <n v="60"/>
    <x v="59"/>
    <x v="0"/>
    <m/>
    <x v="0"/>
    <x v="0"/>
  </r>
  <r>
    <x v="59"/>
    <x v="17"/>
    <s v="Bus de transport"/>
    <x v="11"/>
    <s v="18516-A-73"/>
    <n v="22405"/>
    <x v="11"/>
    <m/>
    <s v="c"/>
    <x v="88"/>
    <s v="143105_x000a_143107"/>
    <n v="360"/>
    <n v="360"/>
    <x v="59"/>
    <x v="0"/>
    <m/>
    <x v="0"/>
    <x v="0"/>
  </r>
  <r>
    <x v="60"/>
    <x v="21"/>
    <s v="Chariot elevateur"/>
    <x v="13"/>
    <s v="-"/>
    <n v="22406"/>
    <x v="21"/>
    <m/>
    <s v="c"/>
    <x v="89"/>
    <s v="143111_x000a_143112"/>
    <n v="180"/>
    <n v="180"/>
    <x v="60"/>
    <x v="0"/>
    <m/>
    <x v="0"/>
    <x v="0"/>
  </r>
  <r>
    <x v="61"/>
    <x v="20"/>
    <s v="Camion"/>
    <x v="6"/>
    <s v="4790-B-8"/>
    <n v="22482"/>
    <x v="16"/>
    <m/>
    <s v="c"/>
    <x v="90"/>
    <n v="143116"/>
    <n v="240"/>
    <n v="240"/>
    <x v="61"/>
    <x v="0"/>
    <m/>
    <x v="0"/>
    <x v="0"/>
  </r>
  <r>
    <x v="61"/>
    <x v="5"/>
    <s v="Semi remorque"/>
    <x v="3"/>
    <s v="70352-A-6"/>
    <n v="22484"/>
    <x v="2"/>
    <m/>
    <s v="c"/>
    <x v="91"/>
    <n v="143119"/>
    <n v="180"/>
    <n v="180"/>
    <x v="61"/>
    <x v="0"/>
    <m/>
    <x v="0"/>
    <x v="0"/>
  </r>
  <r>
    <x v="61"/>
    <x v="14"/>
    <s v="Balayeuse"/>
    <x v="9"/>
    <s v="-"/>
    <n v="22410"/>
    <x v="4"/>
    <m/>
    <s v="c"/>
    <x v="92"/>
    <s v="143353_x000a_143381_x000a_143384_x000a_143376"/>
    <n v="2850"/>
    <n v="9120"/>
    <x v="62"/>
    <x v="0"/>
    <m/>
    <x v="0"/>
    <x v="0"/>
  </r>
  <r>
    <x v="62"/>
    <x v="7"/>
    <s v="Camion"/>
    <x v="5"/>
    <s v=" 11469-A-73"/>
    <n v="22485"/>
    <x v="0"/>
    <m/>
    <s v="P"/>
    <x v="93"/>
    <n v="143124"/>
    <n v="60"/>
    <n v="60"/>
    <x v="63"/>
    <x v="0"/>
    <m/>
    <x v="0"/>
    <x v="0"/>
  </r>
  <r>
    <x v="63"/>
    <x v="23"/>
    <s v="Semi remorque"/>
    <x v="6"/>
    <s v="706-A-73"/>
    <n v="22486"/>
    <x v="2"/>
    <m/>
    <s v="c"/>
    <x v="94"/>
    <m/>
    <n v="120"/>
    <n v="120"/>
    <x v="64"/>
    <x v="0"/>
    <m/>
    <x v="0"/>
    <x v="0"/>
  </r>
  <r>
    <x v="63"/>
    <x v="16"/>
    <s v="Camion"/>
    <x v="5"/>
    <s v="11470-A-73"/>
    <n v="22487"/>
    <x v="0"/>
    <m/>
    <s v="P"/>
    <x v="95"/>
    <s v="143131_x000a_143134"/>
    <n v="120"/>
    <n v="120"/>
    <x v="65"/>
    <x v="0"/>
    <m/>
    <x v="0"/>
    <x v="0"/>
  </r>
  <r>
    <x v="63"/>
    <x v="29"/>
    <s v="Chariot elevateur"/>
    <x v="16"/>
    <s v="-"/>
    <n v="22413"/>
    <x v="0"/>
    <m/>
    <s v="P"/>
    <x v="96"/>
    <n v="144509"/>
    <n v="120"/>
    <n v="120"/>
    <x v="66"/>
    <x v="0"/>
    <m/>
    <x v="0"/>
    <x v="0"/>
  </r>
  <r>
    <x v="64"/>
    <x v="8"/>
    <s v="Semi remorque"/>
    <x v="6"/>
    <s v="28659-D-1 "/>
    <n v="22481"/>
    <x v="0"/>
    <m/>
    <s v="P"/>
    <x v="97"/>
    <n v="143189"/>
    <n v="120"/>
    <n v="120"/>
    <x v="67"/>
    <x v="0"/>
    <m/>
    <x v="0"/>
    <x v="0"/>
  </r>
  <r>
    <x v="65"/>
    <x v="9"/>
    <s v="Bus de transport"/>
    <x v="7"/>
    <s v="22772-A-73"/>
    <n v="22489"/>
    <x v="14"/>
    <m/>
    <s v="c"/>
    <x v="98"/>
    <n v="143136"/>
    <n v="570"/>
    <n v="570"/>
    <x v="65"/>
    <x v="0"/>
    <m/>
    <x v="0"/>
    <x v="0"/>
  </r>
  <r>
    <x v="66"/>
    <x v="0"/>
    <s v="Voiture de fonction"/>
    <x v="0"/>
    <s v="981-A-73"/>
    <n v="22483"/>
    <x v="4"/>
    <m/>
    <s v="c"/>
    <x v="99"/>
    <s v="143117_x000a_143143_x000a_143144"/>
    <n v="1140"/>
    <n v="1140"/>
    <x v="68"/>
    <x v="0"/>
    <m/>
    <x v="0"/>
    <x v="0"/>
  </r>
  <r>
    <x v="67"/>
    <x v="10"/>
    <s v="Camion"/>
    <x v="8"/>
    <s v="25636-A-13"/>
    <n v="22490"/>
    <x v="2"/>
    <m/>
    <s v="c"/>
    <x v="56"/>
    <n v="143140"/>
    <n v="120"/>
    <n v="120"/>
    <x v="69"/>
    <x v="0"/>
    <m/>
    <x v="0"/>
    <x v="0"/>
  </r>
  <r>
    <x v="68"/>
    <x v="19"/>
    <s v="Chargeur"/>
    <x v="12"/>
    <s v="-"/>
    <n v="22407"/>
    <x v="14"/>
    <m/>
    <s v="c"/>
    <x v="100"/>
    <n v="143147"/>
    <n v="120"/>
    <n v="120"/>
    <x v="70"/>
    <x v="0"/>
    <m/>
    <x v="0"/>
    <x v="0"/>
  </r>
  <r>
    <x v="69"/>
    <x v="8"/>
    <s v="Semi remorque"/>
    <x v="6"/>
    <s v="28659-D-1 "/>
    <n v="22491"/>
    <x v="2"/>
    <m/>
    <s v="c"/>
    <x v="101"/>
    <s v="143356_x000a_143361"/>
    <n v="240"/>
    <n v="240"/>
    <x v="71"/>
    <x v="0"/>
    <m/>
    <x v="0"/>
    <x v="0"/>
  </r>
  <r>
    <x v="69"/>
    <x v="20"/>
    <s v="Camion"/>
    <x v="6"/>
    <s v="4790-B-8"/>
    <n v="22493"/>
    <x v="19"/>
    <m/>
    <s v="c"/>
    <x v="102"/>
    <n v="143352"/>
    <n v="120"/>
    <n v="120"/>
    <x v="71"/>
    <x v="0"/>
    <m/>
    <x v="0"/>
    <x v="0"/>
  </r>
  <r>
    <x v="69"/>
    <x v="30"/>
    <s v="Chariot elevateur"/>
    <x v="21"/>
    <s v=" "/>
    <n v="22411"/>
    <x v="4"/>
    <m/>
    <s v="c"/>
    <x v="103"/>
    <s v="143370_x000a_143379_x000a_143389_x000a_143387"/>
    <n v="3990"/>
    <n v="5700"/>
    <x v="72"/>
    <x v="0"/>
    <m/>
    <x v="0"/>
    <x v="0"/>
  </r>
  <r>
    <x v="70"/>
    <x v="16"/>
    <s v="Camion"/>
    <x v="5"/>
    <s v="11470-A-73"/>
    <n v="22492"/>
    <x v="2"/>
    <m/>
    <s v="c"/>
    <x v="40"/>
    <n v="143355"/>
    <n v="120"/>
    <n v="120"/>
    <x v="73"/>
    <x v="0"/>
    <m/>
    <x v="0"/>
    <x v="0"/>
  </r>
  <r>
    <x v="71"/>
    <x v="13"/>
    <s v="Camion"/>
    <x v="5"/>
    <s v="4703-A-73"/>
    <n v="22494"/>
    <x v="2"/>
    <m/>
    <s v="c"/>
    <x v="104"/>
    <n v="143369"/>
    <n v="180"/>
    <n v="180"/>
    <x v="74"/>
    <x v="0"/>
    <m/>
    <x v="0"/>
    <x v="0"/>
  </r>
  <r>
    <x v="71"/>
    <x v="2"/>
    <s v="Chariot elevateur"/>
    <x v="2"/>
    <s v="-"/>
    <n v="22408"/>
    <x v="0"/>
    <m/>
    <s v="P"/>
    <x v="105"/>
    <n v="143149"/>
    <n v="120"/>
    <n v="120"/>
    <x v="74"/>
    <x v="0"/>
    <m/>
    <x v="0"/>
    <x v="0"/>
  </r>
  <r>
    <x v="72"/>
    <x v="13"/>
    <s v="Camion"/>
    <x v="22"/>
    <s v="4703-A-73"/>
    <n v="22495"/>
    <x v="22"/>
    <m/>
    <s v="c"/>
    <x v="106"/>
    <s v="143374_x000a_143377"/>
    <n v="30"/>
    <n v="30"/>
    <x v="75"/>
    <x v="0"/>
    <m/>
    <x v="0"/>
    <x v="0"/>
  </r>
  <r>
    <x v="72"/>
    <x v="15"/>
    <s v="Chariot elevateur"/>
    <x v="10"/>
    <s v="-"/>
    <n v="22412"/>
    <x v="0"/>
    <m/>
    <s v="P"/>
    <x v="107"/>
    <n v="143378"/>
    <n v="60"/>
    <n v="60"/>
    <x v="75"/>
    <x v="0"/>
    <m/>
    <x v="0"/>
    <x v="0"/>
  </r>
  <r>
    <x v="73"/>
    <x v="12"/>
    <s v="Semi remorque"/>
    <x v="3"/>
    <s v="17885-A-73 "/>
    <n v="22496"/>
    <x v="23"/>
    <m/>
    <s v="c"/>
    <x v="108"/>
    <s v="143383_x000a_143382"/>
    <n v="120"/>
    <n v="120"/>
    <x v="76"/>
    <x v="0"/>
    <m/>
    <x v="0"/>
    <x v="0"/>
  </r>
  <r>
    <x v="74"/>
    <x v="5"/>
    <s v="Semi remorque"/>
    <x v="3"/>
    <s v="70352-A-6"/>
    <n v="22951"/>
    <x v="4"/>
    <m/>
    <m/>
    <x v="109"/>
    <m/>
    <m/>
    <m/>
    <x v="57"/>
    <x v="0"/>
    <m/>
    <x v="0"/>
    <x v="0"/>
  </r>
  <r>
    <x v="75"/>
    <x v="8"/>
    <s v="Semi remorque"/>
    <x v="6"/>
    <s v="28659-D-1 "/>
    <n v="22497"/>
    <x v="0"/>
    <m/>
    <s v="P"/>
    <x v="110"/>
    <n v="143390"/>
    <n v="180"/>
    <n v="180"/>
    <x v="77"/>
    <x v="0"/>
    <m/>
    <x v="0"/>
    <x v="0"/>
  </r>
  <r>
    <x v="76"/>
    <x v="1"/>
    <s v="Camion"/>
    <x v="1"/>
    <s v="26128-A-8"/>
    <n v="23503"/>
    <x v="19"/>
    <s v="renouvlement "/>
    <s v="c"/>
    <x v="102"/>
    <n v="154189"/>
    <n v="60"/>
    <n v="60"/>
    <x v="78"/>
    <x v="0"/>
    <m/>
    <x v="0"/>
    <x v="0"/>
  </r>
  <r>
    <x v="77"/>
    <x v="28"/>
    <s v="Chariot elevateur"/>
    <x v="13"/>
    <s v="-"/>
    <n v="22414"/>
    <x v="4"/>
    <m/>
    <s v="c"/>
    <x v="111"/>
    <s v="144508_x000a_139745_x000a_145209_x000a_145206_x000a_145537_x000a_145201_x000a_144532_x000a_144533_x000a_144526_x000a_144518_x000a_144212_x000a_144225_x000a_144214_x000a_145222_x000a_147713147714_x000a_147715"/>
    <m/>
    <m/>
    <x v="57"/>
    <x v="0"/>
    <m/>
    <x v="0"/>
    <x v="0"/>
  </r>
  <r>
    <x v="77"/>
    <x v="13"/>
    <s v="Camion"/>
    <x v="5"/>
    <s v="4703-A-73"/>
    <n v="22961"/>
    <x v="11"/>
    <s v="garniture de frein"/>
    <s v="c"/>
    <x v="112"/>
    <m/>
    <n v="2850"/>
    <n v="4560"/>
    <x v="79"/>
    <x v="0"/>
    <m/>
    <x v="0"/>
    <x v="0"/>
  </r>
  <r>
    <x v="78"/>
    <x v="8"/>
    <s v="Semi remorque"/>
    <x v="6"/>
    <s v="28659-D-1 "/>
    <n v="22499"/>
    <x v="2"/>
    <m/>
    <s v="c"/>
    <x v="56"/>
    <n v="143503"/>
    <n v="60"/>
    <n v="60"/>
    <x v="80"/>
    <x v="0"/>
    <m/>
    <x v="0"/>
    <x v="0"/>
  </r>
  <r>
    <x v="79"/>
    <x v="12"/>
    <s v="Semi remorque"/>
    <x v="3"/>
    <s v="17885-A-73 "/>
    <n v="22500"/>
    <x v="19"/>
    <m/>
    <s v="c"/>
    <x v="102"/>
    <n v="143505"/>
    <n v="60"/>
    <n v="60"/>
    <x v="66"/>
    <x v="0"/>
    <m/>
    <x v="0"/>
    <x v="0"/>
  </r>
  <r>
    <x v="80"/>
    <x v="20"/>
    <s v="Camion"/>
    <x v="6"/>
    <s v="4790-B-8"/>
    <n v="22954"/>
    <x v="24"/>
    <s v="démarrage"/>
    <s v="c"/>
    <x v="113"/>
    <n v="144510"/>
    <n v="120"/>
    <n v="120"/>
    <x v="81"/>
    <x v="0"/>
    <m/>
    <x v="0"/>
    <x v="0"/>
  </r>
  <r>
    <x v="81"/>
    <x v="17"/>
    <s v="Bus de transport"/>
    <x v="11"/>
    <s v="18516-A-73"/>
    <n v="22955"/>
    <x v="25"/>
    <s v="peinture "/>
    <s v="c"/>
    <x v="114"/>
    <n v="144512"/>
    <n v="180"/>
    <n v="180"/>
    <x v="82"/>
    <x v="0"/>
    <m/>
    <x v="0"/>
    <x v="0"/>
  </r>
  <r>
    <x v="81"/>
    <x v="12"/>
    <s v="Semi remorque"/>
    <x v="3"/>
    <s v="17885-A-73 "/>
    <n v="22956"/>
    <x v="24"/>
    <s v="eclairage"/>
    <s v="c"/>
    <x v="56"/>
    <n v="144513"/>
    <n v="120"/>
    <n v="120"/>
    <x v="82"/>
    <x v="0"/>
    <m/>
    <x v="0"/>
    <x v="0"/>
  </r>
  <r>
    <x v="82"/>
    <x v="10"/>
    <s v="Camion"/>
    <x v="8"/>
    <s v="25636-A-13"/>
    <n v="22958"/>
    <x v="24"/>
    <s v="eclairage"/>
    <m/>
    <x v="56"/>
    <n v="144520"/>
    <n v="120"/>
    <n v="120"/>
    <x v="83"/>
    <x v="0"/>
    <m/>
    <x v="0"/>
    <x v="0"/>
  </r>
  <r>
    <x v="83"/>
    <x v="18"/>
    <s v="Camion"/>
    <x v="5"/>
    <s v="4969-A-73 "/>
    <n v="22959"/>
    <x v="0"/>
    <s v="mise a niveau"/>
    <s v="P"/>
    <x v="115"/>
    <n v="144524"/>
    <n v="30"/>
    <n v="30"/>
    <x v="84"/>
    <x v="0"/>
    <m/>
    <x v="0"/>
    <x v="0"/>
  </r>
  <r>
    <x v="84"/>
    <x v="9"/>
    <s v="Bus de transport"/>
    <x v="7"/>
    <s v="22772-A-73"/>
    <n v="22960"/>
    <x v="0"/>
    <s v="vidange"/>
    <s v="P"/>
    <x v="116"/>
    <n v="144528"/>
    <n v="180"/>
    <n v="180"/>
    <x v="85"/>
    <x v="0"/>
    <m/>
    <x v="0"/>
    <x v="0"/>
  </r>
  <r>
    <x v="84"/>
    <x v="17"/>
    <s v="Bus de transport"/>
    <x v="11"/>
    <s v="18516-A-73"/>
    <n v="22963"/>
    <x v="0"/>
    <s v="vidange"/>
    <s v="P"/>
    <x v="117"/>
    <n v="144529"/>
    <n v="240"/>
    <n v="240"/>
    <x v="85"/>
    <x v="0"/>
    <m/>
    <x v="0"/>
    <x v="0"/>
  </r>
  <r>
    <x v="84"/>
    <x v="16"/>
    <s v="Camion"/>
    <x v="5"/>
    <s v="11470-A-73"/>
    <n v="22964"/>
    <x v="24"/>
    <s v="eclairage"/>
    <s v="c"/>
    <x v="118"/>
    <n v="144535"/>
    <n v="120"/>
    <n v="120"/>
    <x v="85"/>
    <x v="0"/>
    <m/>
    <x v="0"/>
    <x v="0"/>
  </r>
  <r>
    <x v="84"/>
    <x v="29"/>
    <s v="Chariot elevateur"/>
    <x v="16"/>
    <s v="-"/>
    <n v="22415"/>
    <x v="26"/>
    <m/>
    <s v="c"/>
    <x v="119"/>
    <s v="144534_x000a_145211"/>
    <n v="180"/>
    <n v="180"/>
    <x v="85"/>
    <x v="0"/>
    <m/>
    <x v="0"/>
    <x v="0"/>
  </r>
  <r>
    <x v="85"/>
    <x v="7"/>
    <s v="Camion"/>
    <x v="5"/>
    <s v=" 11469-A-73"/>
    <n v="22965"/>
    <x v="21"/>
    <s v="flexible percé"/>
    <s v="c"/>
    <x v="120"/>
    <n v="144541"/>
    <n v="360"/>
    <n v="360"/>
    <x v="79"/>
    <x v="0"/>
    <m/>
    <x v="0"/>
    <x v="0"/>
  </r>
  <r>
    <x v="85"/>
    <x v="3"/>
    <s v="Camion"/>
    <x v="3"/>
    <s v="22300-A-73"/>
    <n v="22966"/>
    <x v="0"/>
    <s v="vidange"/>
    <s v="P"/>
    <x v="60"/>
    <n v="144542"/>
    <n v="570"/>
    <n v="570"/>
    <x v="79"/>
    <x v="0"/>
    <m/>
    <x v="0"/>
    <x v="0"/>
  </r>
  <r>
    <x v="85"/>
    <x v="2"/>
    <s v="Chariot elevateur"/>
    <x v="2"/>
    <s v="-"/>
    <n v="22416"/>
    <x v="27"/>
    <m/>
    <s v="c"/>
    <x v="121"/>
    <n v="144538"/>
    <n v="300"/>
    <n v="300"/>
    <x v="79"/>
    <x v="0"/>
    <m/>
    <x v="0"/>
    <x v="0"/>
  </r>
  <r>
    <x v="86"/>
    <x v="4"/>
    <s v="Camion"/>
    <x v="3"/>
    <s v="22299-A-73"/>
    <n v="22968"/>
    <x v="0"/>
    <s v="vidange"/>
    <s v="P"/>
    <x v="60"/>
    <n v="145202"/>
    <n v="570"/>
    <n v="570"/>
    <x v="86"/>
    <x v="0"/>
    <m/>
    <x v="0"/>
    <x v="0"/>
  </r>
  <r>
    <x v="87"/>
    <x v="29"/>
    <s v="Chariot elevateur"/>
    <x v="16"/>
    <s v="-"/>
    <n v="22417"/>
    <x v="0"/>
    <m/>
    <s v="c"/>
    <x v="122"/>
    <n v="145216"/>
    <n v="120"/>
    <n v="120"/>
    <x v="87"/>
    <x v="0"/>
    <m/>
    <x v="0"/>
    <x v="0"/>
  </r>
  <r>
    <x v="87"/>
    <x v="9"/>
    <s v="Bus de transport"/>
    <x v="7"/>
    <s v="22772-A-73"/>
    <n v="22426"/>
    <x v="24"/>
    <m/>
    <s v="c"/>
    <x v="123"/>
    <n v="145213"/>
    <n v="60"/>
    <n v="60"/>
    <x v="87"/>
    <x v="0"/>
    <m/>
    <x v="0"/>
    <x v="0"/>
  </r>
  <r>
    <x v="88"/>
    <x v="7"/>
    <s v="Camion"/>
    <x v="23"/>
    <s v=" 11469-A-73"/>
    <n v="22418"/>
    <x v="0"/>
    <m/>
    <s v="P"/>
    <x v="124"/>
    <s v="145220_x000a_145224_x000a_145223"/>
    <n v="180"/>
    <n v="180"/>
    <x v="88"/>
    <x v="0"/>
    <m/>
    <x v="0"/>
    <x v="0"/>
  </r>
  <r>
    <x v="89"/>
    <x v="23"/>
    <s v="Semi remorque"/>
    <x v="6"/>
    <s v="706-A-73"/>
    <n v="22425"/>
    <x v="28"/>
    <m/>
    <s v="c"/>
    <x v="125"/>
    <n v="145351"/>
    <n v="2280"/>
    <n v="2280"/>
    <x v="89"/>
    <x v="0"/>
    <m/>
    <x v="0"/>
    <x v="0"/>
  </r>
  <r>
    <x v="90"/>
    <x v="19"/>
    <s v="Chargeur"/>
    <x v="12"/>
    <s v="-"/>
    <n v="22419"/>
    <x v="0"/>
    <m/>
    <s v="P"/>
    <x v="126"/>
    <s v="145226_x000a_145229_x000a_145228"/>
    <n v="180"/>
    <n v="180"/>
    <x v="90"/>
    <x v="0"/>
    <m/>
    <x v="0"/>
    <x v="0"/>
  </r>
  <r>
    <x v="90"/>
    <x v="16"/>
    <s v="Camion"/>
    <x v="5"/>
    <s v="11470-A-73"/>
    <n v="22420"/>
    <x v="0"/>
    <m/>
    <s v="P"/>
    <x v="127"/>
    <n v="145227"/>
    <n v="120"/>
    <n v="120"/>
    <x v="90"/>
    <x v="0"/>
    <m/>
    <x v="0"/>
    <x v="0"/>
  </r>
  <r>
    <x v="91"/>
    <x v="34"/>
    <s v="Chariot elevateur"/>
    <x v="19"/>
    <s v="-"/>
    <n v="22421"/>
    <x v="21"/>
    <m/>
    <s v="c"/>
    <x v="128"/>
    <n v="145230"/>
    <n v="240"/>
    <n v="240"/>
    <x v="91"/>
    <x v="0"/>
    <m/>
    <x v="0"/>
    <x v="0"/>
  </r>
  <r>
    <x v="91"/>
    <x v="21"/>
    <s v="Chariot elevateur"/>
    <x v="13"/>
    <s v="-"/>
    <n v="22422"/>
    <x v="0"/>
    <m/>
    <s v="c"/>
    <x v="129"/>
    <n v="145231"/>
    <n v="180"/>
    <n v="180"/>
    <x v="91"/>
    <x v="0"/>
    <m/>
    <x v="0"/>
    <x v="0"/>
  </r>
  <r>
    <x v="92"/>
    <x v="19"/>
    <s v="Chargeur"/>
    <x v="12"/>
    <s v="-"/>
    <n v="22423"/>
    <x v="0"/>
    <m/>
    <s v="P"/>
    <x v="130"/>
    <n v="145232"/>
    <n v="30"/>
    <n v="30"/>
    <x v="92"/>
    <x v="0"/>
    <m/>
    <x v="0"/>
    <x v="0"/>
  </r>
  <r>
    <x v="93"/>
    <x v="26"/>
    <s v="Chariot elevateur"/>
    <x v="15"/>
    <s v="-"/>
    <n v="22424"/>
    <x v="9"/>
    <m/>
    <s v="c"/>
    <x v="131"/>
    <n v="145233"/>
    <n v="180"/>
    <n v="180"/>
    <x v="93"/>
    <x v="0"/>
    <m/>
    <x v="0"/>
    <x v="0"/>
  </r>
  <r>
    <x v="94"/>
    <x v="35"/>
    <s v="Chariot elevateur"/>
    <x v="13"/>
    <s v="-"/>
    <n v="22971"/>
    <x v="0"/>
    <m/>
    <s v="P"/>
    <x v="132"/>
    <n v="145352"/>
    <n v="60"/>
    <n v="60"/>
    <x v="94"/>
    <x v="0"/>
    <m/>
    <x v="0"/>
    <x v="0"/>
  </r>
  <r>
    <x v="94"/>
    <x v="2"/>
    <s v="Chariot elevateur"/>
    <x v="2"/>
    <s v="-"/>
    <n v="22972"/>
    <x v="0"/>
    <m/>
    <s v="P"/>
    <x v="133"/>
    <n v="145353"/>
    <n v="60"/>
    <n v="60"/>
    <x v="94"/>
    <x v="0"/>
    <m/>
    <x v="0"/>
    <x v="0"/>
  </r>
  <r>
    <x v="94"/>
    <x v="1"/>
    <s v="Camion"/>
    <x v="1"/>
    <s v="26128-A-8"/>
    <n v="22973"/>
    <x v="0"/>
    <m/>
    <s v="P"/>
    <x v="134"/>
    <n v="145354"/>
    <n v="180"/>
    <n v="180"/>
    <x v="94"/>
    <x v="0"/>
    <m/>
    <x v="0"/>
    <x v="0"/>
  </r>
  <r>
    <x v="95"/>
    <x v="12"/>
    <s v="Semi remorque"/>
    <x v="3"/>
    <s v="17885-A-73 "/>
    <n v="22974"/>
    <x v="24"/>
    <m/>
    <s v="c"/>
    <x v="135"/>
    <n v="147701"/>
    <n v="180"/>
    <n v="180"/>
    <x v="95"/>
    <x v="0"/>
    <m/>
    <x v="0"/>
    <x v="0"/>
  </r>
  <r>
    <x v="96"/>
    <x v="8"/>
    <s v="Semi remorque"/>
    <x v="6"/>
    <s v="28659-D-1 "/>
    <n v="22975"/>
    <x v="16"/>
    <m/>
    <s v="c"/>
    <x v="136"/>
    <n v="147702"/>
    <n v="240"/>
    <n v="240"/>
    <x v="95"/>
    <x v="0"/>
    <m/>
    <x v="0"/>
    <x v="0"/>
  </r>
  <r>
    <x v="97"/>
    <x v="3"/>
    <s v="Camion"/>
    <x v="3"/>
    <s v="22300-A-73"/>
    <n v="22976"/>
    <x v="24"/>
    <m/>
    <s v="c"/>
    <x v="137"/>
    <m/>
    <m/>
    <m/>
    <x v="57"/>
    <x v="0"/>
    <m/>
    <x v="0"/>
    <x v="0"/>
  </r>
  <r>
    <x v="98"/>
    <x v="20"/>
    <s v="Camion"/>
    <x v="6"/>
    <s v="4790-B-8"/>
    <n v="22977"/>
    <x v="29"/>
    <m/>
    <s v="c"/>
    <x v="138"/>
    <n v="147705"/>
    <n v="240"/>
    <n v="240"/>
    <x v="96"/>
    <x v="0"/>
    <m/>
    <x v="0"/>
    <x v="0"/>
  </r>
  <r>
    <x v="98"/>
    <x v="29"/>
    <s v="Chariot elevateur"/>
    <x v="16"/>
    <s v="-"/>
    <n v="22980"/>
    <x v="30"/>
    <m/>
    <s v="c"/>
    <x v="139"/>
    <m/>
    <n v="240"/>
    <n v="240"/>
    <x v="97"/>
    <x v="0"/>
    <m/>
    <x v="0"/>
    <x v="0"/>
  </r>
  <r>
    <x v="99"/>
    <x v="2"/>
    <s v="Chariot elevateur"/>
    <x v="2"/>
    <s v="-"/>
    <n v="22978"/>
    <x v="0"/>
    <m/>
    <s v="c"/>
    <x v="140"/>
    <n v="147706"/>
    <n v="30"/>
    <n v="30"/>
    <x v="98"/>
    <x v="0"/>
    <m/>
    <x v="0"/>
    <x v="0"/>
  </r>
  <r>
    <x v="99"/>
    <x v="30"/>
    <s v="station lavage"/>
    <x v="24"/>
    <s v=" "/>
    <n v="22979"/>
    <x v="31"/>
    <m/>
    <s v="c"/>
    <x v="141"/>
    <n v="147707"/>
    <n v="240"/>
    <n v="240"/>
    <x v="98"/>
    <x v="0"/>
    <m/>
    <x v="0"/>
    <x v="0"/>
  </r>
  <r>
    <x v="100"/>
    <x v="2"/>
    <s v="Chariot elevateur"/>
    <x v="2"/>
    <s v="-"/>
    <n v="22981"/>
    <x v="21"/>
    <m/>
    <s v="c"/>
    <x v="142"/>
    <n v="147709"/>
    <n v="120"/>
    <n v="120"/>
    <x v="99"/>
    <x v="0"/>
    <m/>
    <x v="0"/>
    <x v="0"/>
  </r>
  <r>
    <x v="100"/>
    <x v="8"/>
    <s v="Semi remorque"/>
    <x v="6"/>
    <s v="28659-D-1 "/>
    <n v="22982"/>
    <x v="24"/>
    <m/>
    <s v="c"/>
    <x v="56"/>
    <n v="147710"/>
    <n v="180"/>
    <n v="180"/>
    <x v="99"/>
    <x v="0"/>
    <m/>
    <x v="0"/>
    <x v="0"/>
  </r>
  <r>
    <x v="101"/>
    <x v="15"/>
    <s v="Chariot elevateur"/>
    <x v="10"/>
    <s v="-"/>
    <n v="22982"/>
    <x v="32"/>
    <m/>
    <m/>
    <x v="143"/>
    <n v="147712"/>
    <n v="360"/>
    <n v="360"/>
    <x v="100"/>
    <x v="0"/>
    <m/>
    <x v="0"/>
    <x v="0"/>
  </r>
  <r>
    <x v="102"/>
    <x v="7"/>
    <s v="Camion"/>
    <x v="5"/>
    <s v=" 11469-A-73"/>
    <n v="22983"/>
    <x v="0"/>
    <m/>
    <s v="P"/>
    <x v="144"/>
    <n v="147717"/>
    <n v="30"/>
    <n v="30"/>
    <x v="101"/>
    <x v="0"/>
    <m/>
    <x v="0"/>
    <x v="0"/>
  </r>
  <r>
    <x v="103"/>
    <x v="4"/>
    <s v="Camion"/>
    <x v="3"/>
    <s v="22299-A-73"/>
    <n v="22984"/>
    <x v="25"/>
    <m/>
    <s v="c"/>
    <x v="145"/>
    <n v="147718"/>
    <n v="420"/>
    <n v="420"/>
    <x v="102"/>
    <x v="0"/>
    <m/>
    <x v="0"/>
    <x v="0"/>
  </r>
  <r>
    <x v="103"/>
    <x v="12"/>
    <s v="Semi remorque"/>
    <x v="3"/>
    <s v="17885-A-73 "/>
    <n v="22985"/>
    <x v="24"/>
    <m/>
    <s v="c"/>
    <x v="146"/>
    <n v="147719"/>
    <n v="120"/>
    <n v="120"/>
    <x v="102"/>
    <x v="0"/>
    <m/>
    <x v="0"/>
    <x v="0"/>
  </r>
  <r>
    <x v="104"/>
    <x v="7"/>
    <s v="Camion"/>
    <x v="5"/>
    <s v=" 11469-A-73"/>
    <n v="22986"/>
    <x v="3"/>
    <m/>
    <s v="c"/>
    <x v="147"/>
    <n v="147720"/>
    <n v="300"/>
    <n v="300"/>
    <x v="103"/>
    <x v="0"/>
    <m/>
    <x v="0"/>
    <x v="0"/>
  </r>
  <r>
    <x v="104"/>
    <x v="8"/>
    <s v="Semi remorque"/>
    <x v="6"/>
    <s v="28659-D-1 "/>
    <n v="22987"/>
    <x v="24"/>
    <m/>
    <s v="c"/>
    <x v="148"/>
    <n v="147722"/>
    <n v="180"/>
    <n v="180"/>
    <x v="103"/>
    <x v="0"/>
    <m/>
    <x v="0"/>
    <x v="0"/>
  </r>
  <r>
    <x v="105"/>
    <x v="23"/>
    <s v="Semi remorque"/>
    <x v="6"/>
    <s v="706-A-73"/>
    <n v="22988"/>
    <x v="16"/>
    <m/>
    <s v="c"/>
    <x v="149"/>
    <n v="147726"/>
    <n v="60"/>
    <n v="60"/>
    <x v="104"/>
    <x v="0"/>
    <m/>
    <x v="0"/>
    <x v="0"/>
  </r>
  <r>
    <x v="106"/>
    <x v="20"/>
    <s v="Camion"/>
    <x v="6"/>
    <s v="4790-B-8"/>
    <n v="22989"/>
    <x v="7"/>
    <m/>
    <s v="c"/>
    <x v="150"/>
    <n v="147727"/>
    <n v="120"/>
    <n v="120"/>
    <x v="105"/>
    <x v="0"/>
    <m/>
    <x v="0"/>
    <x v="0"/>
  </r>
  <r>
    <x v="107"/>
    <x v="23"/>
    <s v="Semi remorque"/>
    <x v="6"/>
    <s v="706-A-73"/>
    <n v="22990"/>
    <x v="16"/>
    <m/>
    <s v="c"/>
    <x v="149"/>
    <n v="147728"/>
    <n v="30"/>
    <n v="30"/>
    <x v="106"/>
    <x v="0"/>
    <m/>
    <x v="0"/>
    <x v="0"/>
  </r>
  <r>
    <x v="107"/>
    <x v="29"/>
    <s v="Chariot elevateur"/>
    <x v="16"/>
    <s v="-"/>
    <n v="22991"/>
    <x v="21"/>
    <m/>
    <s v="c"/>
    <x v="151"/>
    <m/>
    <n v="180"/>
    <n v="180"/>
    <x v="106"/>
    <x v="0"/>
    <m/>
    <x v="0"/>
    <x v="0"/>
  </r>
  <r>
    <x v="108"/>
    <x v="8"/>
    <s v="Semi remorque"/>
    <x v="6"/>
    <s v="28659-D-1 "/>
    <n v="22992"/>
    <x v="23"/>
    <m/>
    <s v="c"/>
    <x v="152"/>
    <n v="147729"/>
    <n v="180"/>
    <n v="180"/>
    <x v="107"/>
    <x v="0"/>
    <m/>
    <x v="0"/>
    <x v="0"/>
  </r>
  <r>
    <x v="109"/>
    <x v="11"/>
    <s v="Semi remorque"/>
    <x v="3"/>
    <s v="17886-A-73 "/>
    <n v="22993"/>
    <x v="33"/>
    <m/>
    <s v="c"/>
    <x v="153"/>
    <n v="147731"/>
    <n v="240"/>
    <m/>
    <x v="108"/>
    <x v="0"/>
    <m/>
    <x v="0"/>
    <x v="0"/>
  </r>
  <r>
    <x v="110"/>
    <x v="7"/>
    <s v="Camion"/>
    <x v="5"/>
    <s v=" 11469-A-73"/>
    <n v="22994"/>
    <x v="0"/>
    <m/>
    <s v="P"/>
    <x v="154"/>
    <s v="147735_x000a_147734"/>
    <n v="360"/>
    <n v="360"/>
    <x v="109"/>
    <x v="0"/>
    <m/>
    <x v="0"/>
    <x v="0"/>
  </r>
  <r>
    <x v="111"/>
    <x v="10"/>
    <s v="Camion"/>
    <x v="8"/>
    <s v="25636-A-13"/>
    <n v="22995"/>
    <x v="34"/>
    <m/>
    <s v="c"/>
    <x v="155"/>
    <n v="147740"/>
    <n v="420"/>
    <n v="420"/>
    <x v="110"/>
    <x v="0"/>
    <m/>
    <x v="0"/>
    <x v="0"/>
  </r>
  <r>
    <x v="111"/>
    <x v="4"/>
    <s v="Camion"/>
    <x v="3"/>
    <s v="22299-A-73"/>
    <n v="22996"/>
    <x v="35"/>
    <m/>
    <s v="c"/>
    <x v="56"/>
    <n v="147742"/>
    <n v="120"/>
    <n v="120"/>
    <x v="110"/>
    <x v="0"/>
    <m/>
    <x v="0"/>
    <x v="0"/>
  </r>
  <r>
    <x v="112"/>
    <x v="1"/>
    <s v="Camion"/>
    <x v="1"/>
    <s v="26128-A-8"/>
    <n v="22997"/>
    <x v="29"/>
    <m/>
    <s v="c"/>
    <x v="156"/>
    <n v="147745"/>
    <n v="180"/>
    <n v="180"/>
    <x v="111"/>
    <x v="0"/>
    <m/>
    <x v="0"/>
    <x v="0"/>
  </r>
  <r>
    <x v="113"/>
    <x v="19"/>
    <s v="Chargeur"/>
    <x v="12"/>
    <s v="-"/>
    <n v="22999"/>
    <x v="0"/>
    <m/>
    <s v="P"/>
    <x v="157"/>
    <n v="145358"/>
    <n v="30"/>
    <n v="30"/>
    <x v="112"/>
    <x v="0"/>
    <m/>
    <x v="0"/>
    <x v="0"/>
  </r>
  <r>
    <x v="114"/>
    <x v="23"/>
    <s v="Semi remorque"/>
    <x v="6"/>
    <s v="706-A-73"/>
    <n v="22901"/>
    <x v="0"/>
    <m/>
    <s v="P"/>
    <x v="158"/>
    <n v="145360"/>
    <n v="180"/>
    <n v="180"/>
    <x v="113"/>
    <x v="0"/>
    <m/>
    <x v="0"/>
    <x v="0"/>
  </r>
  <r>
    <x v="115"/>
    <x v="24"/>
    <s v="Voiture de fonction"/>
    <x v="0"/>
    <s v="10551-A-73"/>
    <n v="22902"/>
    <x v="11"/>
    <m/>
    <s v="c"/>
    <x v="159"/>
    <n v="145365"/>
    <n v="570"/>
    <n v="570"/>
    <x v="114"/>
    <x v="0"/>
    <m/>
    <x v="0"/>
    <x v="0"/>
  </r>
  <r>
    <x v="115"/>
    <x v="8"/>
    <s v="Semi remorque"/>
    <x v="6"/>
    <s v="28659-D-1 "/>
    <n v="22904"/>
    <x v="12"/>
    <m/>
    <s v="c"/>
    <x v="160"/>
    <s v="145367_x000a_145376_x000a_145381_x000a_"/>
    <m/>
    <m/>
    <x v="57"/>
    <x v="0"/>
    <m/>
    <x v="0"/>
    <x v="0"/>
  </r>
  <r>
    <x v="115"/>
    <x v="26"/>
    <s v="Chariot elevateur"/>
    <x v="15"/>
    <s v="-"/>
    <n v="23270"/>
    <x v="0"/>
    <s v="vidange"/>
    <s v="P"/>
    <x v="133"/>
    <m/>
    <m/>
    <m/>
    <x v="57"/>
    <x v="0"/>
    <m/>
    <x v="0"/>
    <x v="0"/>
  </r>
  <r>
    <x v="116"/>
    <x v="8"/>
    <s v="Semi remorque"/>
    <x v="6"/>
    <s v="28659-D-1 "/>
    <n v="22903"/>
    <x v="25"/>
    <m/>
    <s v="c"/>
    <x v="161"/>
    <n v="145366"/>
    <n v="570"/>
    <n v="570"/>
    <x v="114"/>
    <x v="0"/>
    <m/>
    <x v="0"/>
    <x v="0"/>
  </r>
  <r>
    <x v="117"/>
    <x v="12"/>
    <s v="Semi remorque"/>
    <x v="3"/>
    <s v="17885-A-73 "/>
    <n v="22908"/>
    <x v="0"/>
    <m/>
    <s v="P"/>
    <x v="60"/>
    <m/>
    <n v="570"/>
    <n v="570"/>
    <x v="115"/>
    <x v="0"/>
    <m/>
    <x v="0"/>
    <x v="0"/>
  </r>
  <r>
    <x v="117"/>
    <x v="15"/>
    <s v="Chariot elevateur"/>
    <x v="10"/>
    <s v="-"/>
    <n v="23268"/>
    <x v="0"/>
    <s v="vidange"/>
    <s v="P"/>
    <x v="162"/>
    <s v="14569_x000a_147741"/>
    <n v="570"/>
    <n v="570"/>
    <x v="115"/>
    <x v="0"/>
    <m/>
    <x v="0"/>
    <x v="0"/>
  </r>
  <r>
    <x v="118"/>
    <x v="11"/>
    <s v="Semi remorque"/>
    <x v="3"/>
    <s v="17886-A-73 "/>
    <n v="22909"/>
    <x v="0"/>
    <m/>
    <s v="P"/>
    <x v="60"/>
    <m/>
    <n v="570"/>
    <n v="570"/>
    <x v="116"/>
    <x v="0"/>
    <m/>
    <x v="0"/>
    <x v="0"/>
  </r>
  <r>
    <x v="118"/>
    <x v="17"/>
    <s v="Bus de transport"/>
    <x v="11"/>
    <s v="18516-A-73"/>
    <n v="22448"/>
    <x v="0"/>
    <s v="vidange"/>
    <s v="P"/>
    <x v="163"/>
    <n v="146854"/>
    <n v="120"/>
    <n v="120"/>
    <x v="117"/>
    <x v="0"/>
    <m/>
    <x v="0"/>
    <x v="0"/>
  </r>
  <r>
    <x v="119"/>
    <x v="20"/>
    <s v="Camion"/>
    <x v="6"/>
    <s v="4790-B-8"/>
    <n v="22905"/>
    <x v="16"/>
    <m/>
    <s v="c"/>
    <x v="90"/>
    <n v="145372"/>
    <n v="360"/>
    <n v="360"/>
    <x v="118"/>
    <x v="0"/>
    <m/>
    <x v="0"/>
    <x v="0"/>
  </r>
  <r>
    <x v="120"/>
    <x v="15"/>
    <s v="Chariot elevateur"/>
    <x v="10"/>
    <s v="-"/>
    <n v="23267"/>
    <x v="36"/>
    <s v="courroie"/>
    <s v="c"/>
    <x v="164"/>
    <n v="145377"/>
    <n v="120"/>
    <n v="120"/>
    <x v="119"/>
    <x v="0"/>
    <m/>
    <x v="0"/>
    <x v="0"/>
  </r>
  <r>
    <x v="121"/>
    <x v="4"/>
    <s v="Camion"/>
    <x v="3"/>
    <s v="22299-A-73"/>
    <n v="22907"/>
    <x v="24"/>
    <m/>
    <s v="c"/>
    <x v="146"/>
    <n v="145382"/>
    <n v="180"/>
    <n v="180"/>
    <x v="120"/>
    <x v="0"/>
    <m/>
    <x v="0"/>
    <x v="0"/>
  </r>
  <r>
    <x v="122"/>
    <x v="29"/>
    <s v="Chariot elevateur"/>
    <x v="16"/>
    <s v="-"/>
    <n v="22428"/>
    <x v="0"/>
    <m/>
    <s v="P"/>
    <x v="130"/>
    <m/>
    <m/>
    <s v=""/>
    <x v="57"/>
    <x v="0"/>
    <m/>
    <x v="0"/>
    <x v="0"/>
  </r>
  <r>
    <x v="122"/>
    <x v="26"/>
    <s v="Chariot elevateur"/>
    <x v="15"/>
    <s v="-"/>
    <n v="22429"/>
    <x v="27"/>
    <m/>
    <s v="c"/>
    <x v="165"/>
    <s v="145393_x000a_145607"/>
    <n v="570"/>
    <n v="570"/>
    <x v="121"/>
    <x v="0"/>
    <m/>
    <x v="0"/>
    <x v="0"/>
  </r>
  <r>
    <x v="123"/>
    <x v="16"/>
    <s v="Camion"/>
    <x v="5"/>
    <s v="11470-A-73"/>
    <n v="22911"/>
    <x v="0"/>
    <m/>
    <s v="P"/>
    <x v="166"/>
    <n v="145396"/>
    <n v="120"/>
    <n v="120"/>
    <x v="121"/>
    <x v="0"/>
    <m/>
    <x v="0"/>
    <x v="0"/>
  </r>
  <r>
    <x v="124"/>
    <x v="5"/>
    <s v="Semi remorque"/>
    <x v="3"/>
    <s v="70352-A-6"/>
    <n v="22906"/>
    <x v="27"/>
    <m/>
    <s v="c"/>
    <x v="167"/>
    <n v="145375"/>
    <n v="1140"/>
    <n v="1140"/>
    <x v="122"/>
    <x v="0"/>
    <m/>
    <x v="0"/>
    <x v="0"/>
  </r>
  <r>
    <x v="124"/>
    <x v="7"/>
    <s v="Camion"/>
    <x v="5"/>
    <s v=" 11469-A-73"/>
    <n v="22912"/>
    <x v="24"/>
    <m/>
    <s v="c"/>
    <x v="56"/>
    <n v="146603"/>
    <n v="120"/>
    <n v="120"/>
    <x v="123"/>
    <x v="0"/>
    <m/>
    <x v="0"/>
    <x v="0"/>
  </r>
  <r>
    <x v="124"/>
    <x v="13"/>
    <s v="Camion"/>
    <x v="5"/>
    <s v="4703-A-73"/>
    <n v="22913"/>
    <x v="0"/>
    <m/>
    <s v="P"/>
    <x v="168"/>
    <n v="146604"/>
    <n v="60"/>
    <n v="60"/>
    <x v="123"/>
    <x v="0"/>
    <m/>
    <x v="0"/>
    <x v="0"/>
  </r>
  <r>
    <x v="125"/>
    <x v="8"/>
    <s v="Semi remorque"/>
    <x v="6"/>
    <s v="28659-D-1 "/>
    <n v="22910"/>
    <x v="7"/>
    <m/>
    <s v="c"/>
    <x v="169"/>
    <s v="146615_x000a_146610_x000a_146616"/>
    <n v="1710"/>
    <n v="1710"/>
    <x v="124"/>
    <x v="0"/>
    <m/>
    <x v="0"/>
    <x v="0"/>
  </r>
  <r>
    <x v="125"/>
    <x v="13"/>
    <s v="Camion"/>
    <x v="5"/>
    <s v="4703-A-73"/>
    <n v="22914"/>
    <x v="27"/>
    <m/>
    <s v="c"/>
    <x v="170"/>
    <n v="146608"/>
    <n v="60"/>
    <n v="60"/>
    <x v="122"/>
    <x v="0"/>
    <m/>
    <x v="0"/>
    <x v="0"/>
  </r>
  <r>
    <x v="125"/>
    <x v="16"/>
    <s v="Camion"/>
    <x v="5"/>
    <s v="11470-A-73"/>
    <n v="22915"/>
    <x v="0"/>
    <m/>
    <s v="c"/>
    <x v="171"/>
    <n v="146612"/>
    <n v="60"/>
    <n v="60"/>
    <x v="122"/>
    <x v="0"/>
    <m/>
    <x v="0"/>
    <x v="0"/>
  </r>
  <r>
    <x v="126"/>
    <x v="10"/>
    <s v="Camion"/>
    <x v="8"/>
    <s v="25636-A-13"/>
    <n v="22916"/>
    <x v="37"/>
    <m/>
    <s v="c"/>
    <x v="90"/>
    <n v="146618"/>
    <n v="120"/>
    <n v="120"/>
    <x v="125"/>
    <x v="0"/>
    <m/>
    <x v="0"/>
    <x v="0"/>
  </r>
  <r>
    <x v="126"/>
    <x v="15"/>
    <s v="Chariot elevateur"/>
    <x v="10"/>
    <s v="-"/>
    <n v="22431"/>
    <x v="1"/>
    <m/>
    <s v="c"/>
    <x v="23"/>
    <s v="146619_x000a_146624"/>
    <m/>
    <m/>
    <x v="57"/>
    <x v="0"/>
    <m/>
    <x v="0"/>
    <x v="0"/>
  </r>
  <r>
    <x v="127"/>
    <x v="7"/>
    <s v="Camion"/>
    <x v="5"/>
    <s v=" 11469-A-73"/>
    <n v="22917"/>
    <x v="0"/>
    <m/>
    <s v="P"/>
    <x v="172"/>
    <n v="146626"/>
    <n v="240"/>
    <n v="240"/>
    <x v="124"/>
    <x v="0"/>
    <m/>
    <x v="0"/>
    <x v="0"/>
  </r>
  <r>
    <x v="127"/>
    <x v="19"/>
    <s v="Chargeur"/>
    <x v="12"/>
    <s v="-"/>
    <n v="22433"/>
    <x v="0"/>
    <s v="mise a niveau"/>
    <s v="P"/>
    <x v="61"/>
    <n v="146621"/>
    <n v="30"/>
    <n v="30"/>
    <x v="124"/>
    <x v="0"/>
    <m/>
    <x v="0"/>
    <x v="0"/>
  </r>
  <r>
    <x v="127"/>
    <x v="26"/>
    <s v="Chariot elevateur"/>
    <x v="15"/>
    <s v="-"/>
    <n v="22432"/>
    <x v="11"/>
    <s v="huile de frein a basse niveau"/>
    <s v="c"/>
    <x v="173"/>
    <n v="146620"/>
    <n v="240"/>
    <n v="240"/>
    <x v="124"/>
    <x v="0"/>
    <m/>
    <x v="0"/>
    <x v="0"/>
  </r>
  <r>
    <x v="128"/>
    <x v="36"/>
    <s v=""/>
    <x v="24"/>
    <s v=" "/>
    <n v="22434"/>
    <x v="27"/>
    <s v=" "/>
    <s v="c"/>
    <x v="174"/>
    <n v="146628"/>
    <n v="120"/>
    <n v="120"/>
    <x v="126"/>
    <x v="0"/>
    <m/>
    <x v="0"/>
    <x v="0"/>
  </r>
  <r>
    <x v="128"/>
    <x v="18"/>
    <s v="Camion"/>
    <x v="5"/>
    <s v="4969-A-73 "/>
    <n v="22435"/>
    <x v="0"/>
    <m/>
    <s v="c"/>
    <x v="175"/>
    <n v="146630"/>
    <n v="180"/>
    <n v="180"/>
    <x v="126"/>
    <x v="0"/>
    <m/>
    <x v="0"/>
    <x v="0"/>
  </r>
  <r>
    <x v="129"/>
    <x v="3"/>
    <s v="Camion"/>
    <x v="3"/>
    <s v="22300-A-73"/>
    <n v="22436"/>
    <x v="35"/>
    <m/>
    <m/>
    <x v="176"/>
    <n v="146631"/>
    <n v="120"/>
    <n v="120"/>
    <x v="127"/>
    <x v="0"/>
    <m/>
    <x v="0"/>
    <x v="0"/>
  </r>
  <r>
    <x v="130"/>
    <x v="6"/>
    <s v="Pick up"/>
    <x v="4"/>
    <s v="22368-A-73"/>
    <n v="22437"/>
    <x v="0"/>
    <m/>
    <s v="c"/>
    <x v="60"/>
    <n v="146634"/>
    <n v="240"/>
    <n v="240"/>
    <x v="128"/>
    <x v="0"/>
    <m/>
    <x v="0"/>
    <x v="0"/>
  </r>
  <r>
    <x v="130"/>
    <x v="33"/>
    <s v="Chariot elevateur"/>
    <x v="18"/>
    <s v="-"/>
    <n v="22438"/>
    <x v="0"/>
    <m/>
    <s v="c"/>
    <x v="60"/>
    <n v="146635"/>
    <n v="120"/>
    <n v="120"/>
    <x v="128"/>
    <x v="0"/>
    <m/>
    <x v="0"/>
    <x v="0"/>
  </r>
  <r>
    <x v="131"/>
    <x v="32"/>
    <s v="Chariot elevateur"/>
    <x v="2"/>
    <s v="-"/>
    <n v="22439"/>
    <x v="0"/>
    <s v="vidange"/>
    <s v="c"/>
    <x v="60"/>
    <n v="146636"/>
    <n v="120"/>
    <n v="120"/>
    <x v="129"/>
    <x v="0"/>
    <m/>
    <x v="0"/>
    <x v="0"/>
  </r>
  <r>
    <x v="131"/>
    <x v="20"/>
    <s v="Camion"/>
    <x v="6"/>
    <s v="4790-B-8"/>
    <n v="22441"/>
    <x v="38"/>
    <m/>
    <s v="c"/>
    <x v="177"/>
    <m/>
    <m/>
    <m/>
    <x v="57"/>
    <x v="0"/>
    <m/>
    <x v="0"/>
    <x v="0"/>
  </r>
  <r>
    <x v="131"/>
    <x v="4"/>
    <s v="Camion"/>
    <x v="3"/>
    <s v="22299-A-73"/>
    <n v="22442"/>
    <x v="35"/>
    <s v="des lampes "/>
    <s v="c"/>
    <x v="178"/>
    <n v="146641"/>
    <n v="120"/>
    <n v="120"/>
    <x v="129"/>
    <x v="0"/>
    <m/>
    <x v="0"/>
    <x v="0"/>
  </r>
  <r>
    <x v="132"/>
    <x v="10"/>
    <s v="Camion"/>
    <x v="8"/>
    <s v="25636-A-13"/>
    <n v="22443"/>
    <x v="28"/>
    <s v="tuyau percé"/>
    <s v="c"/>
    <x v="43"/>
    <n v="146643"/>
    <n v="180"/>
    <n v="180"/>
    <x v="130"/>
    <x v="0"/>
    <m/>
    <x v="0"/>
    <x v="0"/>
  </r>
  <r>
    <x v="133"/>
    <x v="37"/>
    <s v=""/>
    <x v="24"/>
    <s v=" "/>
    <n v="22445"/>
    <x v="21"/>
    <s v="fuite d'huile"/>
    <s v="c"/>
    <x v="179"/>
    <n v="146645"/>
    <n v="1400"/>
    <n v="1400"/>
    <x v="131"/>
    <x v="0"/>
    <m/>
    <x v="0"/>
    <x v="0"/>
  </r>
  <r>
    <x v="134"/>
    <x v="4"/>
    <s v="Camion"/>
    <x v="3"/>
    <s v="22299-A-73"/>
    <n v="22447"/>
    <x v="24"/>
    <s v="eclairage"/>
    <s v="c"/>
    <x v="180"/>
    <n v="146852"/>
    <n v="180"/>
    <n v="180"/>
    <x v="131"/>
    <x v="0"/>
    <m/>
    <x v="0"/>
    <x v="0"/>
  </r>
  <r>
    <x v="135"/>
    <x v="7"/>
    <s v="Camion"/>
    <x v="5"/>
    <s v=" 11469-A-73"/>
    <n v="22450"/>
    <x v="27"/>
    <m/>
    <s v="c"/>
    <x v="181"/>
    <n v="146861"/>
    <n v="120"/>
    <n v="120"/>
    <x v="132"/>
    <x v="0"/>
    <m/>
    <x v="0"/>
    <x v="0"/>
  </r>
  <r>
    <x v="136"/>
    <x v="19"/>
    <s v="Chargeur"/>
    <x v="12"/>
    <s v="-"/>
    <n v="22449"/>
    <x v="14"/>
    <s v="aille du roue "/>
    <s v="c"/>
    <x v="182"/>
    <n v="146857"/>
    <n v="120"/>
    <n v="120"/>
    <x v="133"/>
    <x v="0"/>
    <m/>
    <x v="0"/>
    <x v="0"/>
  </r>
  <r>
    <x v="137"/>
    <x v="10"/>
    <s v="Camion"/>
    <x v="8"/>
    <s v="25636-A-13"/>
    <n v="23251"/>
    <x v="3"/>
    <s v="flexible percé"/>
    <s v="c"/>
    <x v="183"/>
    <n v="146862"/>
    <n v="1740"/>
    <n v="1740"/>
    <x v="134"/>
    <x v="0"/>
    <m/>
    <x v="0"/>
    <x v="0"/>
  </r>
  <r>
    <x v="138"/>
    <x v="10"/>
    <s v="Camion"/>
    <x v="8"/>
    <s v="25636-A-13"/>
    <n v="23252"/>
    <x v="27"/>
    <s v="probleme elctronique "/>
    <s v="c"/>
    <x v="184"/>
    <n v="146863"/>
    <n v="2280"/>
    <n v="228"/>
    <x v="135"/>
    <x v="0"/>
    <m/>
    <x v="0"/>
    <x v="0"/>
  </r>
  <r>
    <x v="139"/>
    <x v="13"/>
    <s v="Camion"/>
    <x v="5"/>
    <s v="4703-A-73"/>
    <n v="23254"/>
    <x v="39"/>
    <s v="tupe d'echappement endommagée"/>
    <s v="c"/>
    <x v="185"/>
    <n v="146870"/>
    <n v="180"/>
    <n v="180"/>
    <x v="136"/>
    <x v="0"/>
    <m/>
    <x v="0"/>
    <x v="0"/>
  </r>
  <r>
    <x v="139"/>
    <x v="10"/>
    <s v="Camion"/>
    <x v="8"/>
    <s v="25636-A-13"/>
    <n v="23255"/>
    <x v="24"/>
    <s v="des lampes "/>
    <s v="c"/>
    <x v="186"/>
    <n v="146871"/>
    <n v="120"/>
    <n v="120"/>
    <x v="136"/>
    <x v="0"/>
    <m/>
    <x v="0"/>
    <x v="0"/>
  </r>
  <r>
    <x v="140"/>
    <x v="38"/>
    <s v="Voiture de fonction"/>
    <x v="25"/>
    <s v="4812-A-73"/>
    <n v="23257"/>
    <x v="0"/>
    <s v="vidange"/>
    <s v="P"/>
    <x v="187"/>
    <n v="146877"/>
    <n v="180"/>
    <n v="180"/>
    <x v="135"/>
    <x v="0"/>
    <m/>
    <x v="0"/>
    <x v="0"/>
  </r>
  <r>
    <x v="140"/>
    <x v="16"/>
    <s v="Camion"/>
    <x v="5"/>
    <s v="11470-A-73"/>
    <n v="23258"/>
    <x v="28"/>
    <s v="tuyau percé"/>
    <s v="c"/>
    <x v="188"/>
    <n v="146878"/>
    <n v="120"/>
    <n v="120"/>
    <x v="135"/>
    <x v="0"/>
    <m/>
    <x v="0"/>
    <x v="0"/>
  </r>
  <r>
    <x v="141"/>
    <x v="35"/>
    <s v="Chariot elevateur"/>
    <x v="13"/>
    <s v="-"/>
    <n v="23260"/>
    <x v="24"/>
    <s v="eclairage"/>
    <s v="c"/>
    <x v="189"/>
    <n v="146880"/>
    <n v="1140"/>
    <n v="1140"/>
    <x v="137"/>
    <x v="0"/>
    <m/>
    <x v="0"/>
    <x v="0"/>
  </r>
  <r>
    <x v="141"/>
    <x v="30"/>
    <s v=""/>
    <x v="24"/>
    <s v=" "/>
    <n v="23262"/>
    <x v="40"/>
    <m/>
    <s v="c"/>
    <x v="190"/>
    <n v="146888"/>
    <n v="3400"/>
    <n v="3400"/>
    <x v="138"/>
    <x v="0"/>
    <m/>
    <x v="0"/>
    <x v="0"/>
  </r>
  <r>
    <x v="141"/>
    <x v="30"/>
    <s v=""/>
    <x v="24"/>
    <s v=" "/>
    <n v="23259"/>
    <x v="0"/>
    <s v="vidange"/>
    <s v="c"/>
    <x v="191"/>
    <n v="146881"/>
    <n v="360"/>
    <n v="360"/>
    <x v="139"/>
    <x v="0"/>
    <m/>
    <x v="0"/>
    <x v="0"/>
  </r>
  <r>
    <x v="141"/>
    <x v="35"/>
    <s v="Chariot elevateur"/>
    <x v="13"/>
    <s v="-"/>
    <n v="23260"/>
    <x v="27"/>
    <s v="probleme elctronique "/>
    <s v="c"/>
    <x v="192"/>
    <n v="146880"/>
    <m/>
    <m/>
    <x v="57"/>
    <x v="0"/>
    <m/>
    <x v="0"/>
    <x v="0"/>
  </r>
  <r>
    <x v="142"/>
    <x v="7"/>
    <s v="Camion"/>
    <x v="5"/>
    <s v=" 11469-A-73"/>
    <m/>
    <x v="41"/>
    <m/>
    <m/>
    <x v="26"/>
    <m/>
    <m/>
    <s v=""/>
    <x v="57"/>
    <x v="0"/>
    <m/>
    <x v="0"/>
    <x v="0"/>
  </r>
  <r>
    <x v="143"/>
    <x v="30"/>
    <s v="atelier "/>
    <x v="24"/>
    <s v=" "/>
    <n v="23262"/>
    <x v="40"/>
    <s v="organisation"/>
    <s v="c"/>
    <x v="193"/>
    <n v="146888"/>
    <n v="3460"/>
    <n v="3460"/>
    <x v="140"/>
    <x v="0"/>
    <m/>
    <x v="0"/>
    <x v="0"/>
  </r>
  <r>
    <x v="144"/>
    <x v="38"/>
    <s v="Voiture de fonction"/>
    <x v="25"/>
    <s v="4812-A-73"/>
    <n v="23266"/>
    <x v="11"/>
    <s v="plaquette usée "/>
    <s v="c"/>
    <x v="194"/>
    <n v="148801"/>
    <n v="1140"/>
    <n v="1140"/>
    <x v="141"/>
    <x v="0"/>
    <m/>
    <x v="0"/>
    <x v="0"/>
  </r>
  <r>
    <x v="145"/>
    <x v="37"/>
    <s v=""/>
    <x v="24"/>
    <s v=" "/>
    <n v="23285"/>
    <x v="42"/>
    <s v="galet de rampe"/>
    <s v="c"/>
    <x v="195"/>
    <n v="149454"/>
    <n v="1710"/>
    <n v="11400"/>
    <x v="142"/>
    <x v="0"/>
    <m/>
    <x v="0"/>
    <x v="0"/>
  </r>
  <r>
    <x v="146"/>
    <x v="22"/>
    <s v="Chariot elevateur"/>
    <x v="14"/>
    <s v="-"/>
    <n v="23271"/>
    <x v="4"/>
    <s v="moteur endommagé"/>
    <s v="c"/>
    <x v="196"/>
    <s v="148808_x000a_148813_x000a_148814_x000a_148818"/>
    <n v="3420"/>
    <n v="6270"/>
    <x v="143"/>
    <x v="0"/>
    <m/>
    <x v="0"/>
    <x v="0"/>
  </r>
  <r>
    <x v="146"/>
    <x v="5"/>
    <s v="Semi remorque"/>
    <x v="3"/>
    <s v="70352-A-6"/>
    <n v="23272"/>
    <x v="7"/>
    <s v="huile d'embrayage "/>
    <s v="c"/>
    <x v="197"/>
    <n v="148809"/>
    <n v="240"/>
    <n v="240"/>
    <x v="138"/>
    <x v="0"/>
    <m/>
    <x v="0"/>
    <x v="0"/>
  </r>
  <r>
    <x v="147"/>
    <x v="0"/>
    <s v="Voiture de fonction"/>
    <x v="0"/>
    <s v="981-A-73"/>
    <n v="23273"/>
    <x v="0"/>
    <s v="vidange"/>
    <s v="c"/>
    <x v="198"/>
    <n v="148822"/>
    <n v="120"/>
    <n v="120"/>
    <x v="144"/>
    <x v="0"/>
    <m/>
    <x v="0"/>
    <x v="0"/>
  </r>
  <r>
    <x v="148"/>
    <x v="24"/>
    <s v="Voiture de fonction"/>
    <x v="0"/>
    <s v="10551-A-73"/>
    <n v="23274"/>
    <x v="0"/>
    <s v="vidange"/>
    <s v="c"/>
    <x v="199"/>
    <m/>
    <m/>
    <m/>
    <x v="57"/>
    <x v="0"/>
    <m/>
    <x v="0"/>
    <x v="0"/>
  </r>
  <r>
    <x v="149"/>
    <x v="15"/>
    <s v="Chariot elevateur"/>
    <x v="10"/>
    <s v="-"/>
    <n v="23275"/>
    <x v="27"/>
    <s v="battrie de démarrage "/>
    <s v="c"/>
    <x v="200"/>
    <n v="148825"/>
    <n v="120"/>
    <n v="120"/>
    <x v="145"/>
    <x v="0"/>
    <m/>
    <x v="0"/>
    <x v="0"/>
  </r>
  <r>
    <x v="149"/>
    <x v="1"/>
    <s v="Camion"/>
    <x v="1"/>
    <s v="26128-A-8"/>
    <n v="23293"/>
    <x v="11"/>
    <s v="garniture de frein"/>
    <s v="c"/>
    <x v="201"/>
    <s v="149476_x000a_149490_x000a_140483"/>
    <n v="3990"/>
    <n v="11400"/>
    <x v="146"/>
    <x v="0"/>
    <m/>
    <x v="0"/>
    <x v="0"/>
  </r>
  <r>
    <x v="150"/>
    <x v="23"/>
    <s v="Semi remorque"/>
    <x v="6"/>
    <s v="706-A-73"/>
    <n v="23276"/>
    <x v="25"/>
    <s v="rétroveseur endommagé"/>
    <s v="c"/>
    <x v="161"/>
    <n v="148827"/>
    <n v="240"/>
    <n v="240"/>
    <x v="147"/>
    <x v="0"/>
    <m/>
    <x v="0"/>
    <x v="0"/>
  </r>
  <r>
    <x v="150"/>
    <x v="2"/>
    <s v="Chariot elevateur"/>
    <x v="2"/>
    <s v="-"/>
    <n v="23277"/>
    <x v="0"/>
    <s v="mise a niveau"/>
    <s v="c"/>
    <x v="202"/>
    <n v="148829"/>
    <n v="30"/>
    <n v="30"/>
    <x v="147"/>
    <x v="0"/>
    <m/>
    <x v="0"/>
    <x v="0"/>
  </r>
  <r>
    <x v="150"/>
    <x v="13"/>
    <s v="Camion"/>
    <x v="5"/>
    <s v="4703-A-73"/>
    <n v="23311"/>
    <x v="25"/>
    <s v="peinture "/>
    <s v="c"/>
    <x v="203"/>
    <s v="149453_x000a_149458_x000a_149469_x000a_149481_x000a_149482_x000a_149486_x000a_141591_x000a_151560_x000a_151555_x000a_151148_x000a_151142_x000a_150131_x000a_150133_x000a_150126_x000a_150120"/>
    <n v="14250"/>
    <n v="22800"/>
    <x v="148"/>
    <x v="0"/>
    <m/>
    <x v="0"/>
    <x v="0"/>
  </r>
  <r>
    <x v="151"/>
    <x v="16"/>
    <s v="Camion"/>
    <x v="5"/>
    <s v="11470-A-73"/>
    <n v="23278"/>
    <x v="24"/>
    <s v="des lampes "/>
    <s v="c"/>
    <x v="37"/>
    <s v="148830_x000a_148831"/>
    <n v="60"/>
    <n v="60"/>
    <x v="149"/>
    <x v="0"/>
    <m/>
    <x v="0"/>
    <x v="0"/>
  </r>
  <r>
    <x v="151"/>
    <x v="34"/>
    <s v="Chariot elevateur"/>
    <x v="19"/>
    <s v="-"/>
    <n v="23288"/>
    <x v="26"/>
    <s v="fuite d'huile"/>
    <s v="c"/>
    <x v="204"/>
    <n v="149462"/>
    <n v="1710"/>
    <n v="6270"/>
    <x v="150"/>
    <x v="0"/>
    <m/>
    <x v="0"/>
    <x v="0"/>
  </r>
  <r>
    <x v="152"/>
    <x v="26"/>
    <s v="Chariot elevateur"/>
    <x v="15"/>
    <s v="-"/>
    <n v="23280"/>
    <x v="26"/>
    <s v="des fourches"/>
    <s v="c"/>
    <x v="205"/>
    <n v="148838"/>
    <n v="570"/>
    <n v="570"/>
    <x v="151"/>
    <x v="0"/>
    <m/>
    <x v="0"/>
    <x v="0"/>
  </r>
  <r>
    <x v="153"/>
    <x v="7"/>
    <m/>
    <x v="5"/>
    <s v=" 11469-A-73"/>
    <n v="23263"/>
    <x v="0"/>
    <s v="vidange"/>
    <s v="P"/>
    <x v="206"/>
    <n v="146889"/>
    <n v="570"/>
    <n v="570"/>
    <x v="142"/>
    <x v="0"/>
    <m/>
    <x v="0"/>
    <x v="0"/>
  </r>
  <r>
    <x v="153"/>
    <x v="7"/>
    <s v="Camion"/>
    <x v="5"/>
    <s v=" 11469-A-73"/>
    <n v="23281"/>
    <x v="0"/>
    <s v="vidange"/>
    <s v="c"/>
    <x v="207"/>
    <n v="148843"/>
    <n v="180"/>
    <n v="180"/>
    <x v="152"/>
    <x v="0"/>
    <m/>
    <x v="0"/>
    <x v="0"/>
  </r>
  <r>
    <x v="153"/>
    <x v="10"/>
    <s v="Camion"/>
    <x v="8"/>
    <s v="25636-A-13"/>
    <n v="23282"/>
    <x v="24"/>
    <s v="eclairage"/>
    <s v="c"/>
    <x v="56"/>
    <n v="148844"/>
    <n v="60"/>
    <n v="60"/>
    <x v="152"/>
    <x v="0"/>
    <m/>
    <x v="0"/>
    <x v="0"/>
  </r>
  <r>
    <x v="153"/>
    <x v="12"/>
    <s v="Semi remorque"/>
    <x v="3"/>
    <s v="17885-A-73 "/>
    <n v="23283"/>
    <x v="24"/>
    <s v="eclairage"/>
    <s v="c"/>
    <x v="56"/>
    <n v="148845"/>
    <n v="120"/>
    <n v="120"/>
    <x v="152"/>
    <x v="0"/>
    <m/>
    <x v="0"/>
    <x v="0"/>
  </r>
  <r>
    <x v="153"/>
    <x v="23"/>
    <s v="Semi remorque"/>
    <x v="6"/>
    <s v="706-A-73"/>
    <n v="23284"/>
    <x v="31"/>
    <s v="compresseur d'air"/>
    <s v="c"/>
    <x v="208"/>
    <s v="149451_x000a_149463"/>
    <n v="1140"/>
    <n v="3420"/>
    <x v="153"/>
    <x v="0"/>
    <m/>
    <x v="0"/>
    <x v="0"/>
  </r>
  <r>
    <x v="153"/>
    <x v="28"/>
    <s v="Chariot elevateur"/>
    <x v="13"/>
    <s v="-"/>
    <n v="23287"/>
    <x v="27"/>
    <s v="démarreur"/>
    <s v="c"/>
    <x v="209"/>
    <n v="149461"/>
    <n v="570"/>
    <n v="2280"/>
    <x v="153"/>
    <x v="0"/>
    <m/>
    <x v="0"/>
    <x v="0"/>
  </r>
  <r>
    <x v="153"/>
    <x v="22"/>
    <s v="Chariot elevateur"/>
    <x v="14"/>
    <s v="-"/>
    <n v="23297"/>
    <x v="43"/>
    <s v="crevaison pneu "/>
    <s v="c"/>
    <x v="210"/>
    <n v="149480"/>
    <n v="180"/>
    <n v="1470"/>
    <x v="154"/>
    <x v="0"/>
    <m/>
    <x v="0"/>
    <x v="0"/>
  </r>
  <r>
    <x v="154"/>
    <x v="3"/>
    <s v="Camion"/>
    <x v="3"/>
    <s v="22300-A-73"/>
    <n v="23295"/>
    <x v="24"/>
    <s v="eclairage"/>
    <s v="c"/>
    <x v="56"/>
    <n v="149478"/>
    <n v="60"/>
    <n v="60"/>
    <x v="142"/>
    <x v="0"/>
    <m/>
    <x v="0"/>
    <x v="0"/>
  </r>
  <r>
    <x v="155"/>
    <x v="7"/>
    <s v="Camion"/>
    <x v="5"/>
    <s v=" 11469-A-73"/>
    <n v="23265"/>
    <x v="24"/>
    <s v="eclairage"/>
    <s v="c"/>
    <x v="211"/>
    <n v="148801"/>
    <n v="120"/>
    <n v="120"/>
    <x v="155"/>
    <x v="0"/>
    <m/>
    <x v="0"/>
    <x v="0"/>
  </r>
  <r>
    <x v="156"/>
    <x v="15"/>
    <s v="Chariot elevateur"/>
    <x v="10"/>
    <s v="-"/>
    <n v="23286"/>
    <x v="1"/>
    <s v="axe pivot endommagé"/>
    <s v="c"/>
    <x v="212"/>
    <n v="149460"/>
    <n v="240"/>
    <n v="240"/>
    <x v="153"/>
    <x v="0"/>
    <m/>
    <x v="0"/>
    <x v="0"/>
  </r>
  <r>
    <x v="156"/>
    <x v="15"/>
    <s v="Chariot elevateur"/>
    <x v="10"/>
    <s v="-"/>
    <n v="23289"/>
    <x v="0"/>
    <s v="vidange"/>
    <s v="P"/>
    <x v="213"/>
    <n v="149464"/>
    <n v="120"/>
    <n v="120"/>
    <x v="153"/>
    <x v="0"/>
    <m/>
    <x v="0"/>
    <x v="0"/>
  </r>
  <r>
    <x v="156"/>
    <x v="16"/>
    <s v="Camion"/>
    <x v="5"/>
    <s v="11470-A-73"/>
    <n v="23290"/>
    <x v="0"/>
    <s v="vidange"/>
    <s v="P"/>
    <x v="214"/>
    <s v="149465_x000a_149566"/>
    <n v="180"/>
    <n v="180"/>
    <x v="153"/>
    <x v="0"/>
    <m/>
    <x v="0"/>
    <x v="0"/>
  </r>
  <r>
    <x v="157"/>
    <x v="37"/>
    <s v="Semi remorque"/>
    <x v="24"/>
    <s v=" "/>
    <n v="23316"/>
    <x v="26"/>
    <s v="galet de rampe"/>
    <s v="c"/>
    <x v="215"/>
    <s v="150121_x000a_151561_x000a_150149_x000a_150147_x000a_150141_x000a_151139"/>
    <n v="3420"/>
    <n v="13680"/>
    <x v="156"/>
    <x v="0"/>
    <m/>
    <x v="0"/>
    <x v="0"/>
  </r>
  <r>
    <x v="158"/>
    <x v="10"/>
    <s v="Camion"/>
    <x v="8"/>
    <s v="25636-A-13"/>
    <n v="23300"/>
    <x v="0"/>
    <s v="vidange"/>
    <s v="c"/>
    <x v="216"/>
    <n v="149487"/>
    <n v="120"/>
    <n v="120"/>
    <x v="157"/>
    <x v="0"/>
    <m/>
    <x v="0"/>
    <x v="0"/>
  </r>
  <r>
    <x v="159"/>
    <x v="12"/>
    <s v="Semi remorque"/>
    <x v="3"/>
    <s v="17885-A-73 "/>
    <n v="23291"/>
    <x v="24"/>
    <s v="eclairage"/>
    <s v="c"/>
    <x v="56"/>
    <n v="149474"/>
    <n v="120"/>
    <n v="120"/>
    <x v="158"/>
    <x v="0"/>
    <m/>
    <x v="0"/>
    <x v="0"/>
  </r>
  <r>
    <x v="160"/>
    <x v="2"/>
    <s v="Chariot elevateur"/>
    <x v="2"/>
    <s v="-"/>
    <n v="23294"/>
    <x v="0"/>
    <s v="vidange"/>
    <s v="c"/>
    <x v="217"/>
    <n v="149477"/>
    <n v="120"/>
    <n v="120"/>
    <x v="159"/>
    <x v="0"/>
    <m/>
    <x v="0"/>
    <x v="0"/>
  </r>
  <r>
    <x v="160"/>
    <x v="19"/>
    <s v="Chargeur"/>
    <x v="12"/>
    <s v="-"/>
    <n v="23296"/>
    <x v="44"/>
    <s v="solinoide d'arrét moteur "/>
    <s v="c"/>
    <x v="218"/>
    <n v="149479"/>
    <n v="1710"/>
    <n v="1710"/>
    <x v="160"/>
    <x v="0"/>
    <m/>
    <x v="0"/>
    <x v="0"/>
  </r>
  <r>
    <x v="161"/>
    <x v="18"/>
    <s v="Camion"/>
    <x v="5"/>
    <s v="4969-A-73 "/>
    <n v="23292"/>
    <x v="32"/>
    <s v="pompe d'amorssage "/>
    <s v="c"/>
    <x v="219"/>
    <n v="149475"/>
    <n v="60"/>
    <n v="60"/>
    <x v="161"/>
    <x v="0"/>
    <m/>
    <x v="0"/>
    <x v="0"/>
  </r>
  <r>
    <x v="162"/>
    <x v="7"/>
    <s v="Camion"/>
    <x v="5"/>
    <s v=" 11469-A-73"/>
    <n v="22920"/>
    <x v="24"/>
    <s v="eclairage"/>
    <s v="c"/>
    <x v="220"/>
    <n v="189488"/>
    <n v="120"/>
    <n v="120"/>
    <x v="146"/>
    <x v="0"/>
    <m/>
    <x v="0"/>
    <x v="0"/>
  </r>
  <r>
    <x v="162"/>
    <x v="16"/>
    <s v="Camion"/>
    <x v="5"/>
    <s v="11470-A-73"/>
    <n v="23298"/>
    <x v="35"/>
    <s v="des lampes "/>
    <s v="c"/>
    <x v="211"/>
    <n v="149484"/>
    <n v="60"/>
    <n v="60"/>
    <x v="146"/>
    <x v="0"/>
    <m/>
    <x v="0"/>
    <x v="0"/>
  </r>
  <r>
    <x v="162"/>
    <x v="10"/>
    <s v="Camion"/>
    <x v="8"/>
    <s v="25636-A-13"/>
    <n v="23299"/>
    <x v="35"/>
    <s v="des lampes "/>
    <s v="c"/>
    <x v="211"/>
    <n v="149485"/>
    <n v="60"/>
    <n v="60"/>
    <x v="146"/>
    <x v="0"/>
    <m/>
    <x v="0"/>
    <x v="0"/>
  </r>
  <r>
    <x v="163"/>
    <x v="19"/>
    <s v="Chargeur"/>
    <x v="12"/>
    <s v="-"/>
    <n v="22921"/>
    <x v="45"/>
    <s v="fuite d'huile "/>
    <s v="c"/>
    <x v="221"/>
    <n v="149486"/>
    <n v="120"/>
    <n v="120"/>
    <x v="162"/>
    <x v="0"/>
    <m/>
    <x v="0"/>
    <x v="0"/>
  </r>
  <r>
    <x v="164"/>
    <x v="17"/>
    <s v="Bus de transport"/>
    <x v="11"/>
    <s v="18516-A-73"/>
    <n v="22922"/>
    <x v="46"/>
    <s v="barre de direction "/>
    <s v="c"/>
    <x v="222"/>
    <n v="149492"/>
    <n v="240"/>
    <n v="240"/>
    <x v="163"/>
    <x v="0"/>
    <m/>
    <x v="0"/>
    <x v="0"/>
  </r>
  <r>
    <x v="164"/>
    <x v="16"/>
    <s v="Camion"/>
    <x v="5"/>
    <s v="11470-A-73"/>
    <n v="23301"/>
    <x v="47"/>
    <s v="mal fonction"/>
    <s v="c"/>
    <x v="223"/>
    <m/>
    <n v="120"/>
    <n v="120"/>
    <x v="163"/>
    <x v="0"/>
    <m/>
    <x v="0"/>
    <x v="0"/>
  </r>
  <r>
    <x v="164"/>
    <x v="15"/>
    <s v="Chariot elevateur"/>
    <x v="10"/>
    <s v="-"/>
    <n v="23310"/>
    <x v="44"/>
    <s v="solinoide d'arrét moteur "/>
    <s v="c"/>
    <x v="224"/>
    <n v="150113"/>
    <n v="240"/>
    <n v="240"/>
    <x v="164"/>
    <x v="0"/>
    <m/>
    <x v="0"/>
    <x v="0"/>
  </r>
  <r>
    <x v="165"/>
    <x v="15"/>
    <s v="Chariot elevateur"/>
    <x v="10"/>
    <s v="-"/>
    <n v="22923"/>
    <x v="0"/>
    <s v="mise a niveau"/>
    <s v="P"/>
    <x v="225"/>
    <n v="149493"/>
    <n v="30"/>
    <n v="30"/>
    <x v="165"/>
    <x v="0"/>
    <m/>
    <x v="0"/>
    <x v="0"/>
  </r>
  <r>
    <x v="165"/>
    <x v="9"/>
    <s v="Bus de transport"/>
    <x v="7"/>
    <s v="22772-A-73"/>
    <n v="22924"/>
    <x v="24"/>
    <s v="eclairage"/>
    <s v="c"/>
    <x v="211"/>
    <n v="149494"/>
    <n v="60"/>
    <n v="60"/>
    <x v="165"/>
    <x v="0"/>
    <m/>
    <x v="0"/>
    <x v="0"/>
  </r>
  <r>
    <x v="165"/>
    <x v="16"/>
    <s v="Camion"/>
    <x v="5"/>
    <s v="11470-A-73"/>
    <n v="22925"/>
    <x v="21"/>
    <s v="flexible percé"/>
    <s v="c"/>
    <x v="226"/>
    <n v="149495"/>
    <n v="180"/>
    <n v="180"/>
    <x v="165"/>
    <x v="0"/>
    <m/>
    <x v="0"/>
    <x v="0"/>
  </r>
  <r>
    <x v="165"/>
    <x v="18"/>
    <s v="Camion"/>
    <x v="5"/>
    <s v="4969-A-73 "/>
    <n v="23302"/>
    <x v="12"/>
    <s v="boite vitesse "/>
    <s v="c"/>
    <x v="227"/>
    <s v="151920_x000a_151916_x000a_151612_x000a_151905_x000a_151901_x000a_151901_x000a_151954_x000a_151598"/>
    <n v="5700"/>
    <n v="14250"/>
    <x v="166"/>
    <x v="1"/>
    <m/>
    <x v="0"/>
    <x v="0"/>
  </r>
  <r>
    <x v="165"/>
    <x v="1"/>
    <s v="Camion"/>
    <x v="1"/>
    <s v="26128-A-8"/>
    <n v="23303"/>
    <x v="10"/>
    <s v="des ressorts a lame "/>
    <s v="c"/>
    <x v="228"/>
    <m/>
    <n v="570"/>
    <n v="570"/>
    <x v="167"/>
    <x v="0"/>
    <m/>
    <x v="0"/>
    <x v="0"/>
  </r>
  <r>
    <x v="165"/>
    <x v="16"/>
    <s v="Camion"/>
    <x v="5"/>
    <s v="11470-A-73"/>
    <n v="23304"/>
    <x v="12"/>
    <s v="pont arriere"/>
    <s v="c"/>
    <x v="229"/>
    <s v="150109_x000a_150104_x000a_151558_x000a_151580_x000a_151913_x000a_151914_x000a_151917_x000a_151921"/>
    <n v="2240"/>
    <n v="13680"/>
    <x v="168"/>
    <x v="0"/>
    <m/>
    <x v="0"/>
    <x v="0"/>
  </r>
  <r>
    <x v="165"/>
    <x v="23"/>
    <s v="Semi remorque"/>
    <x v="6"/>
    <s v="706-A-73"/>
    <n v="23305"/>
    <x v="24"/>
    <s v="démarreur"/>
    <s v="c"/>
    <x v="167"/>
    <n v="150101"/>
    <n v="120"/>
    <n v="120"/>
    <x v="165"/>
    <x v="0"/>
    <m/>
    <x v="0"/>
    <x v="0"/>
  </r>
  <r>
    <x v="165"/>
    <x v="29"/>
    <s v="Chariot elevateur"/>
    <x v="16"/>
    <s v="-"/>
    <n v="23306"/>
    <x v="45"/>
    <s v="fuite d'huile "/>
    <s v="c"/>
    <x v="230"/>
    <n v="150102"/>
    <n v="120"/>
    <n v="120"/>
    <x v="165"/>
    <x v="0"/>
    <m/>
    <x v="0"/>
    <x v="0"/>
  </r>
  <r>
    <x v="165"/>
    <x v="26"/>
    <s v="Chariot elevateur"/>
    <x v="15"/>
    <s v="-"/>
    <n v="23307"/>
    <x v="26"/>
    <s v="chaine de levage "/>
    <s v="c"/>
    <x v="231"/>
    <n v="150103"/>
    <n v="1140"/>
    <n v="1140"/>
    <x v="169"/>
    <x v="0"/>
    <m/>
    <x v="0"/>
    <x v="0"/>
  </r>
  <r>
    <x v="165"/>
    <x v="1"/>
    <s v="Camion"/>
    <x v="1"/>
    <s v="26128-A-8"/>
    <n v="23314"/>
    <x v="10"/>
    <s v="des ressorts a lame "/>
    <s v="c"/>
    <x v="22"/>
    <n v="151"/>
    <n v="570"/>
    <n v="570"/>
    <x v="167"/>
    <x v="0"/>
    <m/>
    <x v="0"/>
    <x v="0"/>
  </r>
  <r>
    <x v="166"/>
    <x v="20"/>
    <s v="Camion"/>
    <x v="6"/>
    <s v="4790-B-8"/>
    <n v="23315"/>
    <x v="4"/>
    <s v="moteur endommagé"/>
    <s v="c"/>
    <x v="232"/>
    <s v="150136_x000a_150132_x000a_150128_x000a_150116_x000a_150122"/>
    <n v="3990"/>
    <n v="6270"/>
    <x v="170"/>
    <x v="0"/>
    <m/>
    <x v="0"/>
    <x v="0"/>
  </r>
  <r>
    <x v="167"/>
    <x v="10"/>
    <s v="Camion"/>
    <x v="8"/>
    <s v="25636-A-13"/>
    <n v="23308"/>
    <x v="27"/>
    <s v="démarreur"/>
    <s v="c"/>
    <x v="233"/>
    <n v="150106"/>
    <n v="120"/>
    <n v="120"/>
    <x v="169"/>
    <x v="0"/>
    <m/>
    <x v="0"/>
    <x v="0"/>
  </r>
  <r>
    <x v="167"/>
    <x v="28"/>
    <s v="Chariot elevateur"/>
    <x v="13"/>
    <s v="-"/>
    <n v="23309"/>
    <x v="0"/>
    <s v="mise a niveau"/>
    <s v="c"/>
    <x v="61"/>
    <n v="150110"/>
    <n v="30"/>
    <n v="30"/>
    <x v="169"/>
    <x v="0"/>
    <m/>
    <x v="0"/>
    <x v="0"/>
  </r>
  <r>
    <x v="168"/>
    <x v="34"/>
    <s v="Chariot elevateur"/>
    <x v="19"/>
    <s v="-"/>
    <n v="23336"/>
    <x v="21"/>
    <s v="arrét d'huile "/>
    <s v="c"/>
    <x v="234"/>
    <s v="151919_x000a_151119_x000a_151526"/>
    <m/>
    <m/>
    <x v="57"/>
    <x v="0"/>
    <m/>
    <x v="0"/>
    <x v="0"/>
  </r>
  <r>
    <x v="169"/>
    <x v="28"/>
    <s v="Chariot elevateur"/>
    <x v="13"/>
    <s v="-"/>
    <n v="23318"/>
    <x v="0"/>
    <s v="vidange"/>
    <s v="P"/>
    <x v="235"/>
    <n v="150135"/>
    <n v="60"/>
    <n v="60"/>
    <x v="171"/>
    <x v="0"/>
    <m/>
    <x v="0"/>
    <x v="0"/>
  </r>
  <r>
    <x v="170"/>
    <x v="0"/>
    <s v="Voiture de fonction"/>
    <x v="0"/>
    <s v="981-A-73"/>
    <n v="23319"/>
    <x v="16"/>
    <s v="usure des pneus"/>
    <s v="P"/>
    <x v="236"/>
    <n v="150143"/>
    <n v="120"/>
    <n v="120"/>
    <x v="172"/>
    <x v="0"/>
    <m/>
    <x v="0"/>
    <x v="0"/>
  </r>
  <r>
    <x v="171"/>
    <x v="5"/>
    <s v="Semi remorque"/>
    <x v="3"/>
    <s v="70352-A-6"/>
    <n v="23320"/>
    <x v="48"/>
    <s v="direction assisté"/>
    <s v="c"/>
    <x v="237"/>
    <n v="150144"/>
    <n v="120"/>
    <n v="120"/>
    <x v="173"/>
    <x v="0"/>
    <m/>
    <x v="0"/>
    <x v="0"/>
  </r>
  <r>
    <x v="171"/>
    <x v="23"/>
    <s v="Semi remorque"/>
    <x v="6"/>
    <s v="706-A-73"/>
    <n v="23321"/>
    <x v="0"/>
    <s v="vidange"/>
    <s v="c"/>
    <x v="238"/>
    <n v="150146"/>
    <n v="120"/>
    <n v="120"/>
    <x v="173"/>
    <x v="0"/>
    <m/>
    <x v="0"/>
    <x v="0"/>
  </r>
  <r>
    <x v="172"/>
    <x v="11"/>
    <s v="Semi remorque"/>
    <x v="3"/>
    <s v="17886-A-73 "/>
    <n v="23324"/>
    <x v="35"/>
    <s v="des lampes "/>
    <s v="c"/>
    <x v="56"/>
    <n v="151551"/>
    <n v="120"/>
    <n v="120"/>
    <x v="170"/>
    <x v="0"/>
    <m/>
    <x v="0"/>
    <x v="0"/>
  </r>
  <r>
    <x v="173"/>
    <x v="12"/>
    <s v="Semi remorque"/>
    <x v="3"/>
    <s v="17885-A-73 "/>
    <n v="23323"/>
    <x v="11"/>
    <s v="plaquette usée "/>
    <s v="c"/>
    <x v="239"/>
    <m/>
    <n v="240"/>
    <n v="240"/>
    <x v="174"/>
    <x v="0"/>
    <m/>
    <x v="0"/>
    <x v="0"/>
  </r>
  <r>
    <x v="174"/>
    <x v="2"/>
    <s v="Chariot elevateur"/>
    <x v="2"/>
    <s v="-"/>
    <n v="23325"/>
    <x v="27"/>
    <s v="battrie de démarrage "/>
    <s v="c"/>
    <x v="240"/>
    <n v="151562"/>
    <n v="60"/>
    <n v="60"/>
    <x v="156"/>
    <x v="0"/>
    <m/>
    <x v="0"/>
    <x v="0"/>
  </r>
  <r>
    <x v="175"/>
    <x v="31"/>
    <s v="Voiture de fonction"/>
    <x v="0"/>
    <s v="50313-A-6"/>
    <n v="23326"/>
    <x v="0"/>
    <s v="vidange"/>
    <s v="P"/>
    <x v="241"/>
    <n v="151574"/>
    <n v="120"/>
    <n v="120"/>
    <x v="175"/>
    <x v="0"/>
    <m/>
    <x v="0"/>
    <x v="0"/>
  </r>
  <r>
    <x v="176"/>
    <x v="8"/>
    <s v="Semi remorque"/>
    <x v="6"/>
    <s v="28659-D-1 "/>
    <n v="23312"/>
    <x v="21"/>
    <s v="boitier de direction "/>
    <s v="c"/>
    <x v="242"/>
    <s v="151571_x000a_151583_x000a_151587_x000a_151593_x000a_151596_x000a_151563_x000a_151145_x000a_151924"/>
    <n v="2280"/>
    <n v="3420"/>
    <x v="176"/>
    <x v="0"/>
    <m/>
    <x v="0"/>
    <x v="0"/>
  </r>
  <r>
    <x v="176"/>
    <x v="30"/>
    <s v="dacia khalil"/>
    <x v="24"/>
    <s v=" "/>
    <n v="23328"/>
    <x v="0"/>
    <s v="vidange"/>
    <s v="c"/>
    <x v="243"/>
    <n v="151577"/>
    <n v="120"/>
    <n v="120"/>
    <x v="177"/>
    <x v="0"/>
    <m/>
    <x v="0"/>
    <x v="0"/>
  </r>
  <r>
    <x v="177"/>
    <x v="10"/>
    <s v="Camion"/>
    <x v="8"/>
    <s v="25636-A-13"/>
    <n v="23327"/>
    <x v="47"/>
    <s v="pompe a huile "/>
    <s v="c"/>
    <x v="244"/>
    <n v="151573"/>
    <n v="180"/>
    <n v="180"/>
    <x v="175"/>
    <x v="0"/>
    <m/>
    <x v="0"/>
    <x v="0"/>
  </r>
  <r>
    <x v="177"/>
    <x v="23"/>
    <s v="Semi remorque"/>
    <x v="6"/>
    <s v="706-A-73"/>
    <n v="23329"/>
    <x v="35"/>
    <s v="des lampes "/>
    <s v="c"/>
    <x v="56"/>
    <n v="151578"/>
    <n v="120"/>
    <n v="120"/>
    <x v="178"/>
    <x v="0"/>
    <m/>
    <x v="0"/>
    <x v="0"/>
  </r>
  <r>
    <x v="177"/>
    <x v="17"/>
    <s v="Bus de transport"/>
    <x v="11"/>
    <s v="18516-A-73"/>
    <n v="23330"/>
    <x v="11"/>
    <s v="huile de frein a basse niveau"/>
    <s v="c"/>
    <x v="245"/>
    <s v="151579_x000a_151581"/>
    <n v="30"/>
    <n v="30"/>
    <x v="178"/>
    <x v="0"/>
    <m/>
    <x v="0"/>
    <x v="0"/>
  </r>
  <r>
    <x v="178"/>
    <x v="3"/>
    <s v="Camion"/>
    <x v="3"/>
    <s v="22300-A-73"/>
    <n v="23331"/>
    <x v="16"/>
    <s v="usure des pneus"/>
    <s v="c"/>
    <x v="246"/>
    <n v="151582"/>
    <n v="240"/>
    <n v="240"/>
    <x v="179"/>
    <x v="0"/>
    <m/>
    <x v="0"/>
    <x v="0"/>
  </r>
  <r>
    <x v="178"/>
    <x v="3"/>
    <s v="Camion"/>
    <x v="3"/>
    <s v="22300-A-73"/>
    <n v="23332"/>
    <x v="49"/>
    <s v="tondeur du courroie usée "/>
    <s v="c"/>
    <x v="247"/>
    <s v="151586_x000a_151592_x000a_151588"/>
    <n v="570"/>
    <n v="570"/>
    <x v="180"/>
    <x v="0"/>
    <m/>
    <x v="0"/>
    <x v="0"/>
  </r>
  <r>
    <x v="179"/>
    <x v="15"/>
    <s v="Chariot elevateur"/>
    <x v="10"/>
    <s v="-"/>
    <n v="23333"/>
    <x v="0"/>
    <s v="mise a niveau"/>
    <s v="P"/>
    <x v="248"/>
    <s v="151586_x000a_151589"/>
    <n v="30"/>
    <n v="30"/>
    <x v="180"/>
    <x v="0"/>
    <m/>
    <x v="0"/>
    <x v="0"/>
  </r>
  <r>
    <x v="179"/>
    <x v="23"/>
    <s v="Semi remorque"/>
    <x v="6"/>
    <s v="706-A-73"/>
    <n v="23334"/>
    <x v="24"/>
    <s v="eclairage"/>
    <s v="c"/>
    <x v="56"/>
    <n v="151590"/>
    <n v="120"/>
    <n v="120"/>
    <x v="180"/>
    <x v="0"/>
    <m/>
    <x v="0"/>
    <x v="0"/>
  </r>
  <r>
    <x v="180"/>
    <x v="17"/>
    <s v="Bus de transport"/>
    <x v="11"/>
    <s v="18516-A-73"/>
    <n v="23335"/>
    <x v="0"/>
    <s v="vidange"/>
    <s v="P"/>
    <x v="133"/>
    <n v="151902"/>
    <n v="120"/>
    <n v="120"/>
    <x v="181"/>
    <x v="0"/>
    <m/>
    <x v="0"/>
    <x v="0"/>
  </r>
  <r>
    <x v="181"/>
    <x v="26"/>
    <s v="Chariot elevateur"/>
    <x v="15"/>
    <s v="-"/>
    <n v="23337"/>
    <x v="50"/>
    <s v="cable d'accelerateur "/>
    <s v="c"/>
    <x v="249"/>
    <n v="151903"/>
    <n v="180"/>
    <n v="180"/>
    <x v="148"/>
    <x v="0"/>
    <m/>
    <x v="0"/>
    <x v="0"/>
  </r>
  <r>
    <x v="181"/>
    <x v="9"/>
    <s v="Bus de transport"/>
    <x v="7"/>
    <s v="22772-A-73"/>
    <n v="23338"/>
    <x v="0"/>
    <s v="vidange"/>
    <s v="P"/>
    <x v="60"/>
    <n v="151904"/>
    <n v="570"/>
    <n v="570"/>
    <x v="148"/>
    <x v="0"/>
    <m/>
    <x v="0"/>
    <x v="0"/>
  </r>
  <r>
    <x v="181"/>
    <x v="26"/>
    <s v="Chariot elevateur"/>
    <x v="15"/>
    <s v="-"/>
    <n v="23342"/>
    <x v="36"/>
    <s v="pompe a eau"/>
    <s v="c"/>
    <x v="250"/>
    <n v="151910"/>
    <n v="570"/>
    <n v="570"/>
    <x v="148"/>
    <x v="0"/>
    <m/>
    <x v="0"/>
    <x v="0"/>
  </r>
  <r>
    <x v="182"/>
    <x v="7"/>
    <s v="Camion"/>
    <x v="5"/>
    <s v=" 11469-A-73"/>
    <n v="23341"/>
    <x v="0"/>
    <s v="vidange"/>
    <s v="P"/>
    <x v="60"/>
    <n v="151908"/>
    <n v="60"/>
    <n v="60"/>
    <x v="182"/>
    <x v="0"/>
    <m/>
    <x v="0"/>
    <x v="0"/>
  </r>
  <r>
    <x v="182"/>
    <x v="17"/>
    <s v="Bus de transport"/>
    <x v="11"/>
    <s v="18516-A-73"/>
    <n v="23344"/>
    <x v="25"/>
    <s v="pare choc arriere "/>
    <s v="c"/>
    <x v="251"/>
    <n v="151918"/>
    <s v="3 j"/>
    <s v="3 j"/>
    <x v="183"/>
    <x v="0"/>
    <m/>
    <x v="0"/>
    <x v="0"/>
  </r>
  <r>
    <x v="182"/>
    <x v="12"/>
    <s v="Semi remorque"/>
    <x v="3"/>
    <s v="17885-A-73 "/>
    <n v="23346"/>
    <x v="0"/>
    <s v="vidange"/>
    <s v="P"/>
    <x v="60"/>
    <m/>
    <n v="570"/>
    <n v="570"/>
    <x v="182"/>
    <x v="0"/>
    <m/>
    <x v="0"/>
    <x v="0"/>
  </r>
  <r>
    <x v="183"/>
    <x v="3"/>
    <s v="Camion"/>
    <x v="3"/>
    <s v="22300-A-73"/>
    <n v="23322"/>
    <x v="11"/>
    <s v="plaquette usée "/>
    <s v="c"/>
    <x v="239"/>
    <n v="151557"/>
    <n v="180"/>
    <n v="180"/>
    <x v="168"/>
    <x v="0"/>
    <m/>
    <x v="0"/>
    <x v="0"/>
  </r>
  <r>
    <x v="184"/>
    <x v="27"/>
    <s v="Voiture de fonction"/>
    <x v="0"/>
    <s v=" 9660 -A-73"/>
    <n v="23343"/>
    <x v="0"/>
    <s v="vidange"/>
    <s v="P"/>
    <x v="252"/>
    <s v="151923_x000a_151913"/>
    <n v="120"/>
    <n v="120"/>
    <x v="184"/>
    <x v="0"/>
    <m/>
    <x v="0"/>
    <x v="0"/>
  </r>
  <r>
    <x v="185"/>
    <x v="20"/>
    <s v="Camion"/>
    <x v="6"/>
    <s v="4790-B-8"/>
    <n v="23347"/>
    <x v="11"/>
    <s v="garniture de frein"/>
    <s v="c"/>
    <x v="253"/>
    <s v="152181_x000a_152177_x000a_152165_x000a_152156_x000a_152930_x000a_151943"/>
    <n v="570"/>
    <n v="570"/>
    <x v="185"/>
    <x v="0"/>
    <m/>
    <x v="0"/>
    <x v="0"/>
  </r>
  <r>
    <x v="186"/>
    <x v="26"/>
    <s v="Chariot elevateur"/>
    <x v="15"/>
    <s v="-"/>
    <n v="24951"/>
    <x v="0"/>
    <s v="mise a niveau"/>
    <s v="P"/>
    <x v="254"/>
    <n v="151932"/>
    <n v="30"/>
    <n v="30"/>
    <x v="186"/>
    <x v="0"/>
    <m/>
    <x v="0"/>
    <x v="0"/>
  </r>
  <r>
    <x v="187"/>
    <x v="35"/>
    <s v="Chariot elevateur"/>
    <x v="13"/>
    <s v="-"/>
    <n v="23348"/>
    <x v="27"/>
    <s v="probleme elctronique "/>
    <s v="c"/>
    <x v="255"/>
    <n v="151"/>
    <n v="180"/>
    <n v="180"/>
    <x v="187"/>
    <x v="0"/>
    <m/>
    <x v="0"/>
    <x v="0"/>
  </r>
  <r>
    <x v="187"/>
    <x v="17"/>
    <s v="Bus de transport"/>
    <x v="11"/>
    <s v="18516-A-73"/>
    <n v="24952"/>
    <x v="35"/>
    <s v="des lampes "/>
    <s v="c"/>
    <x v="56"/>
    <n v="151933"/>
    <n v="30"/>
    <n v="30"/>
    <x v="187"/>
    <x v="0"/>
    <m/>
    <x v="0"/>
    <x v="0"/>
  </r>
  <r>
    <x v="187"/>
    <x v="29"/>
    <s v="Chariot elevateur"/>
    <x v="16"/>
    <s v="-"/>
    <n v="24953"/>
    <x v="51"/>
    <s v="courroie d'alternateur "/>
    <s v="c"/>
    <x v="256"/>
    <s v="151934_x000a_151942"/>
    <n v="120"/>
    <n v="120"/>
    <x v="187"/>
    <x v="0"/>
    <m/>
    <x v="0"/>
    <x v="0"/>
  </r>
  <r>
    <x v="188"/>
    <x v="16"/>
    <s v="Camion"/>
    <x v="5"/>
    <s v="11470-A-73"/>
    <n v="24954"/>
    <x v="52"/>
    <s v="thermocontact "/>
    <s v="C "/>
    <x v="257"/>
    <n v="152151"/>
    <n v="180"/>
    <n v="180"/>
    <x v="188"/>
    <x v="0"/>
    <m/>
    <x v="0"/>
    <x v="0"/>
  </r>
  <r>
    <x v="188"/>
    <x v="3"/>
    <s v="Camion"/>
    <x v="3"/>
    <s v="22300-A-73"/>
    <n v="24960"/>
    <x v="10"/>
    <s v="boulon d'assemblage "/>
    <s v="c"/>
    <x v="22"/>
    <n v="152170"/>
    <n v="570"/>
    <n v="570"/>
    <x v="189"/>
    <x v="0"/>
    <m/>
    <x v="0"/>
    <x v="0"/>
  </r>
  <r>
    <x v="189"/>
    <x v="13"/>
    <s v="Camion"/>
    <x v="5"/>
    <s v="4703-A-73"/>
    <n v="23340"/>
    <x v="35"/>
    <s v="des lampes "/>
    <s v="c"/>
    <x v="258"/>
    <n v="152152"/>
    <n v="30"/>
    <n v="30"/>
    <x v="189"/>
    <x v="0"/>
    <m/>
    <x v="0"/>
    <x v="0"/>
  </r>
  <r>
    <x v="190"/>
    <x v="12"/>
    <s v="Semi remorque"/>
    <x v="3"/>
    <s v="17885-A-73 "/>
    <n v="23339"/>
    <x v="16"/>
    <s v="usure des pneus"/>
    <s v="c"/>
    <x v="259"/>
    <n v="152155"/>
    <n v="180"/>
    <n v="180"/>
    <x v="190"/>
    <x v="0"/>
    <m/>
    <x v="0"/>
    <x v="0"/>
  </r>
  <r>
    <x v="191"/>
    <x v="21"/>
    <s v="Chariot elevateur"/>
    <x v="13"/>
    <s v="-"/>
    <n v="24987"/>
    <x v="0"/>
    <s v="fuite d'huile "/>
    <s v="c"/>
    <x v="260"/>
    <n v="154158"/>
    <n v="180"/>
    <n v="180"/>
    <x v="191"/>
    <x v="0"/>
    <m/>
    <x v="0"/>
    <x v="0"/>
  </r>
  <r>
    <x v="192"/>
    <x v="21"/>
    <s v="Chariot elevateur"/>
    <x v="13"/>
    <s v="-"/>
    <n v="24959"/>
    <x v="0"/>
    <s v="vidange"/>
    <s v="P"/>
    <x v="261"/>
    <n v="152161"/>
    <n v="60"/>
    <n v="60"/>
    <x v="192"/>
    <x v="0"/>
    <m/>
    <x v="0"/>
    <x v="0"/>
  </r>
  <r>
    <x v="193"/>
    <x v="26"/>
    <s v="Chariot elevateur"/>
    <x v="15"/>
    <s v="-"/>
    <n v="24958"/>
    <x v="0"/>
    <s v="vidange"/>
    <s v="c"/>
    <x v="262"/>
    <n v="152162"/>
    <n v="180"/>
    <n v="180"/>
    <x v="193"/>
    <x v="0"/>
    <m/>
    <x v="0"/>
    <x v="0"/>
  </r>
  <r>
    <x v="194"/>
    <x v="23"/>
    <s v="Semi remorque"/>
    <x v="6"/>
    <s v="706-A-73"/>
    <n v="23349"/>
    <x v="53"/>
    <s v="prob du boite de vitesse "/>
    <s v="c"/>
    <x v="263"/>
    <s v="152497_x000a_152490_x000a_152493_x000a_152484_x000a_152483_x000a_152478_x000a_152485_x000a_152472_x000a_152175"/>
    <n v="4520"/>
    <n v="15960"/>
    <x v="194"/>
    <x v="0"/>
    <m/>
    <x v="0"/>
    <x v="0"/>
  </r>
  <r>
    <x v="194"/>
    <x v="11"/>
    <s v="Semi remorque"/>
    <x v="3"/>
    <s v="17886-A-73 "/>
    <n v="24956"/>
    <x v="35"/>
    <s v="des lampes "/>
    <s v="c"/>
    <x v="56"/>
    <n v="152167"/>
    <n v="60"/>
    <n v="60"/>
    <x v="195"/>
    <x v="0"/>
    <m/>
    <x v="0"/>
    <x v="0"/>
  </r>
  <r>
    <x v="194"/>
    <x v="12"/>
    <s v="Semi remorque"/>
    <x v="3"/>
    <s v="17885-A-73 "/>
    <n v="24957"/>
    <x v="35"/>
    <s v="des lampes "/>
    <s v="c"/>
    <x v="56"/>
    <n v="152164"/>
    <n v="120"/>
    <n v="120"/>
    <x v="195"/>
    <x v="0"/>
    <m/>
    <x v="0"/>
    <x v="0"/>
  </r>
  <r>
    <x v="194"/>
    <x v="7"/>
    <s v="Camion"/>
    <x v="5"/>
    <s v=" 11469-A-73"/>
    <n v="24962"/>
    <x v="25"/>
    <s v="vitre avant "/>
    <s v="c"/>
    <x v="264"/>
    <s v="152172_x000a_152180"/>
    <n v="1140"/>
    <n v="1140"/>
    <x v="196"/>
    <x v="0"/>
    <m/>
    <x v="0"/>
    <x v="0"/>
  </r>
  <r>
    <x v="195"/>
    <x v="10"/>
    <s v="Camion"/>
    <x v="8"/>
    <s v="25636-A-13"/>
    <n v="24955"/>
    <x v="0"/>
    <s v="vidange"/>
    <s v="c"/>
    <x v="265"/>
    <n v="152169"/>
    <n v="180"/>
    <n v="180"/>
    <x v="196"/>
    <x v="2"/>
    <m/>
    <x v="0"/>
    <x v="0"/>
  </r>
  <r>
    <x v="195"/>
    <x v="8"/>
    <s v="Semi remorque"/>
    <x v="6"/>
    <s v="28659-D-1 "/>
    <n v="24961"/>
    <x v="35"/>
    <s v="des lampes "/>
    <s v="c"/>
    <x v="266"/>
    <n v="152171"/>
    <n v="30"/>
    <n v="30"/>
    <x v="196"/>
    <x v="0"/>
    <m/>
    <x v="0"/>
    <x v="0"/>
  </r>
  <r>
    <x v="196"/>
    <x v="15"/>
    <s v="Chariot elevateur"/>
    <x v="10"/>
    <s v="-"/>
    <n v="24963"/>
    <x v="44"/>
    <s v="solinoide d'arrét moteur "/>
    <s v="c"/>
    <x v="267"/>
    <n v="152173"/>
    <n v="180"/>
    <n v="180"/>
    <x v="197"/>
    <x v="0"/>
    <m/>
    <x v="0"/>
    <x v="0"/>
  </r>
  <r>
    <x v="196"/>
    <x v="24"/>
    <s v="Voiture de fonction"/>
    <x v="0"/>
    <s v="10551-A-73"/>
    <n v="24964"/>
    <x v="11"/>
    <s v="des plaquettes "/>
    <s v="c"/>
    <x v="268"/>
    <s v="152174_x000a_154732"/>
    <n v="570"/>
    <n v="570"/>
    <x v="197"/>
    <x v="0"/>
    <m/>
    <x v="0"/>
    <x v="0"/>
  </r>
  <r>
    <x v="196"/>
    <x v="0"/>
    <s v="Voiture de fonction"/>
    <x v="0"/>
    <s v="981-A-73"/>
    <n v="24970"/>
    <x v="54"/>
    <s v="joint culasse "/>
    <s v="c"/>
    <x v="269"/>
    <m/>
    <m/>
    <s v=""/>
    <x v="57"/>
    <x v="0"/>
    <m/>
    <x v="0"/>
    <x v="0"/>
  </r>
  <r>
    <x v="196"/>
    <x v="4"/>
    <s v="Camion"/>
    <x v="3"/>
    <s v="22299-A-73"/>
    <n v="24977"/>
    <x v="0"/>
    <s v="vidange"/>
    <s v="c"/>
    <x v="270"/>
    <n v="152457"/>
    <n v="570"/>
    <n v="570"/>
    <x v="197"/>
    <x v="0"/>
    <m/>
    <x v="0"/>
    <x v="0"/>
  </r>
  <r>
    <x v="197"/>
    <x v="3"/>
    <s v="Camion"/>
    <x v="3"/>
    <s v="22300-A-73"/>
    <n v="24978"/>
    <x v="0"/>
    <s v="vidange"/>
    <s v="c"/>
    <x v="271"/>
    <n v="152479"/>
    <n v="570"/>
    <n v="570"/>
    <x v="185"/>
    <x v="0"/>
    <m/>
    <x v="0"/>
    <x v="0"/>
  </r>
  <r>
    <x v="198"/>
    <x v="29"/>
    <s v="Chariot elevateur"/>
    <x v="16"/>
    <s v="-"/>
    <n v="24966"/>
    <x v="0"/>
    <s v="mise a niveau"/>
    <s v="P"/>
    <x v="272"/>
    <n v="152186"/>
    <n v="30"/>
    <n v="30"/>
    <x v="198"/>
    <x v="0"/>
    <m/>
    <x v="0"/>
    <x v="0"/>
  </r>
  <r>
    <x v="198"/>
    <x v="5"/>
    <s v="Semi remorque"/>
    <x v="3"/>
    <s v="70352-A-6"/>
    <n v="24968"/>
    <x v="55"/>
    <s v="basse pression"/>
    <s v="c"/>
    <x v="273"/>
    <s v="152190_x000a_152192_x000a_152194_x000a_152194_x000a_152195_x000a_152453_x000a_152456_x000a_152454"/>
    <n v="4560"/>
    <n v="7410"/>
    <x v="199"/>
    <x v="0"/>
    <m/>
    <x v="0"/>
    <x v="0"/>
  </r>
  <r>
    <x v="199"/>
    <x v="18"/>
    <s v="Camion"/>
    <x v="5"/>
    <s v="4969-A-73 "/>
    <n v="24967"/>
    <x v="35"/>
    <s v="des lampes "/>
    <s v="c"/>
    <x v="266"/>
    <n v="152187"/>
    <n v="120"/>
    <n v="120"/>
    <x v="200"/>
    <x v="0"/>
    <m/>
    <x v="0"/>
    <x v="0"/>
  </r>
  <r>
    <x v="200"/>
    <x v="16"/>
    <s v="Camion"/>
    <x v="5"/>
    <s v="11470-A-73"/>
    <n v="24969"/>
    <x v="35"/>
    <s v="des lampes "/>
    <s v="c"/>
    <x v="266"/>
    <n v="152193"/>
    <n v="120"/>
    <n v="120"/>
    <x v="201"/>
    <x v="0"/>
    <m/>
    <x v="0"/>
    <x v="0"/>
  </r>
  <r>
    <x v="201"/>
    <x v="9"/>
    <s v="Bus de transport"/>
    <x v="7"/>
    <s v="22772-A-73"/>
    <n v="24971"/>
    <x v="0"/>
    <s v="vidange"/>
    <s v="P"/>
    <x v="133"/>
    <m/>
    <m/>
    <s v=""/>
    <x v="57"/>
    <x v="0"/>
    <m/>
    <x v="0"/>
    <x v="0"/>
  </r>
  <r>
    <x v="202"/>
    <x v="19"/>
    <s v="Chargeur"/>
    <x v="12"/>
    <s v="-"/>
    <n v="24972"/>
    <x v="0"/>
    <s v="mise a niveau"/>
    <s v="P"/>
    <x v="254"/>
    <m/>
    <m/>
    <s v=""/>
    <x v="57"/>
    <x v="0"/>
    <m/>
    <x v="0"/>
    <x v="0"/>
  </r>
  <r>
    <x v="203"/>
    <x v="10"/>
    <s v="Camion"/>
    <x v="8"/>
    <s v="25636-A-13"/>
    <n v="24973"/>
    <x v="47"/>
    <s v="distributeur hydraulique "/>
    <s v="c"/>
    <x v="274"/>
    <s v="152469_x000a_152466_x000a_152463"/>
    <n v="1140"/>
    <n v="1140"/>
    <x v="202"/>
    <x v="0"/>
    <m/>
    <x v="0"/>
    <x v="0"/>
  </r>
  <r>
    <x v="204"/>
    <x v="3"/>
    <s v="Camion"/>
    <x v="3"/>
    <s v="22300-A-73"/>
    <n v="24974"/>
    <x v="19"/>
    <s v="renouvlement "/>
    <s v="c"/>
    <x v="275"/>
    <n v="152470"/>
    <n v="120"/>
    <n v="120"/>
    <x v="202"/>
    <x v="0"/>
    <m/>
    <x v="0"/>
    <x v="0"/>
  </r>
  <r>
    <x v="204"/>
    <x v="9"/>
    <s v="Bus de transport"/>
    <x v="7"/>
    <s v="22772-A-73"/>
    <n v="24976"/>
    <x v="19"/>
    <s v="renouvlement "/>
    <s v="c"/>
    <x v="102"/>
    <n v="152471"/>
    <n v="120"/>
    <n v="120"/>
    <x v="202"/>
    <x v="0"/>
    <m/>
    <x v="0"/>
    <x v="0"/>
  </r>
  <r>
    <x v="205"/>
    <x v="7"/>
    <s v="Camion"/>
    <x v="5"/>
    <s v=" 11469-A-73"/>
    <n v="24980"/>
    <x v="0"/>
    <s v="vidange"/>
    <s v="c"/>
    <x v="276"/>
    <m/>
    <m/>
    <s v=""/>
    <x v="57"/>
    <x v="0"/>
    <m/>
    <x v="0"/>
    <x v="0"/>
  </r>
  <r>
    <x v="206"/>
    <x v="14"/>
    <s v="Balayeuse"/>
    <x v="9"/>
    <s v="-"/>
    <n v="24981"/>
    <x v="56"/>
    <s v="fixation "/>
    <s v="c"/>
    <x v="277"/>
    <n v="152496"/>
    <n v="570"/>
    <n v="570"/>
    <x v="203"/>
    <x v="0"/>
    <m/>
    <x v="0"/>
    <x v="0"/>
  </r>
  <r>
    <x v="206"/>
    <x v="17"/>
    <s v="Bus de transport"/>
    <x v="11"/>
    <s v="18516-A-73"/>
    <n v="24982"/>
    <x v="27"/>
    <s v="battrie de démarrage "/>
    <s v="c"/>
    <x v="278"/>
    <n v="156153"/>
    <n v="120"/>
    <n v="120"/>
    <x v="203"/>
    <x v="0"/>
    <m/>
    <x v="0"/>
    <x v="0"/>
  </r>
  <r>
    <x v="206"/>
    <x v="29"/>
    <s v="Chariot elevateur"/>
    <x v="16"/>
    <s v="-"/>
    <n v="24983"/>
    <x v="0"/>
    <s v="vidange"/>
    <s v="c"/>
    <x v="279"/>
    <m/>
    <m/>
    <s v=""/>
    <x v="57"/>
    <x v="0"/>
    <m/>
    <x v="0"/>
    <x v="0"/>
  </r>
  <r>
    <x v="206"/>
    <x v="3"/>
    <s v="Camion"/>
    <x v="3"/>
    <s v="22300-A-73"/>
    <n v="24984"/>
    <x v="35"/>
    <s v="des lampes "/>
    <s v="c"/>
    <x v="56"/>
    <n v="154155"/>
    <n v="120"/>
    <n v="120"/>
    <x v="203"/>
    <x v="0"/>
    <m/>
    <x v="0"/>
    <x v="0"/>
  </r>
  <r>
    <x v="206"/>
    <x v="16"/>
    <s v="Camion"/>
    <x v="5"/>
    <s v="11470-A-73"/>
    <n v="24985"/>
    <x v="0"/>
    <s v="vidange"/>
    <s v="P"/>
    <x v="280"/>
    <n v="154156"/>
    <n v="120"/>
    <n v="120"/>
    <x v="203"/>
    <x v="0"/>
    <m/>
    <x v="0"/>
    <x v="0"/>
  </r>
  <r>
    <x v="206"/>
    <x v="15"/>
    <s v="Chariot elevateur"/>
    <x v="10"/>
    <s v="-"/>
    <n v="24986"/>
    <x v="0"/>
    <s v="vidange"/>
    <s v="c"/>
    <x v="281"/>
    <n v="154157"/>
    <m/>
    <n v="110012"/>
    <x v="57"/>
    <x v="0"/>
    <m/>
    <x v="0"/>
    <x v="0"/>
  </r>
  <r>
    <x v="207"/>
    <x v="1"/>
    <s v="Camion"/>
    <x v="1"/>
    <s v="26128-A-8"/>
    <n v="24988"/>
    <x v="27"/>
    <s v="battrie de démarrage "/>
    <s v="c"/>
    <x v="282"/>
    <n v="154159"/>
    <n v="120"/>
    <n v="120"/>
    <x v="191"/>
    <x v="0"/>
    <m/>
    <x v="0"/>
    <x v="0"/>
  </r>
  <r>
    <x v="207"/>
    <x v="3"/>
    <s v="Camion"/>
    <x v="3"/>
    <s v="22300-A-73"/>
    <n v="24990"/>
    <x v="35"/>
    <s v="des lampes "/>
    <s v="c"/>
    <x v="56"/>
    <n v="154161"/>
    <m/>
    <n v="110015"/>
    <x v="57"/>
    <x v="0"/>
    <m/>
    <x v="0"/>
    <x v="0"/>
  </r>
  <r>
    <x v="207"/>
    <x v="8"/>
    <s v="Semi remorque"/>
    <x v="6"/>
    <s v="28659-D-1 "/>
    <n v="24991"/>
    <x v="0"/>
    <s v="vidange"/>
    <s v="c"/>
    <x v="283"/>
    <n v="154162"/>
    <n v="180"/>
    <n v="180"/>
    <x v="191"/>
    <x v="0"/>
    <m/>
    <x v="0"/>
    <x v="0"/>
  </r>
  <r>
    <x v="208"/>
    <x v="11"/>
    <s v="Semi remorque"/>
    <x v="3"/>
    <s v="17886-A-73 "/>
    <n v="24979"/>
    <x v="11"/>
    <s v="plaquette de frerin"/>
    <s v="c"/>
    <x v="284"/>
    <s v="152482_x000a_152485"/>
    <n v="570"/>
    <n v="570"/>
    <x v="194"/>
    <x v="0"/>
    <m/>
    <x v="0"/>
    <x v="0"/>
  </r>
  <r>
    <x v="208"/>
    <x v="9"/>
    <s v="Bus de transport"/>
    <x v="7"/>
    <s v="22772-A-73"/>
    <n v="24993"/>
    <x v="16"/>
    <s v="usure des pneus"/>
    <s v="c"/>
    <x v="285"/>
    <n v="154166"/>
    <n v="570"/>
    <n v="570"/>
    <x v="194"/>
    <x v="0"/>
    <m/>
    <x v="0"/>
    <x v="0"/>
  </r>
  <r>
    <x v="208"/>
    <x v="30"/>
    <s v=""/>
    <x v="24"/>
    <s v=" "/>
    <n v="24994"/>
    <x v="16"/>
    <s v="usure des pneus"/>
    <s v="c"/>
    <x v="286"/>
    <n v="154167"/>
    <n v="570"/>
    <n v="570"/>
    <x v="194"/>
    <x v="0"/>
    <m/>
    <x v="0"/>
    <x v="0"/>
  </r>
  <r>
    <x v="209"/>
    <x v="19"/>
    <s v="Chargeur"/>
    <x v="12"/>
    <s v="-"/>
    <n v="24995"/>
    <x v="0"/>
    <s v="mise a niveau"/>
    <s v="c"/>
    <x v="287"/>
    <n v="154172"/>
    <n v="120"/>
    <n v="120"/>
    <x v="194"/>
    <x v="0"/>
    <m/>
    <x v="0"/>
    <x v="0"/>
  </r>
  <r>
    <x v="210"/>
    <x v="22"/>
    <s v="Chariot elevateur"/>
    <x v="14"/>
    <s v="-"/>
    <n v="23512"/>
    <x v="16"/>
    <s v="pneu percé"/>
    <s v="c"/>
    <x v="288"/>
    <n v="154563"/>
    <n v="180"/>
    <n v="5700"/>
    <x v="204"/>
    <x v="0"/>
    <m/>
    <x v="0"/>
    <x v="0"/>
  </r>
  <r>
    <x v="211"/>
    <x v="29"/>
    <s v="Chariot elevateur"/>
    <x v="16"/>
    <s v="-"/>
    <n v="24998"/>
    <x v="21"/>
    <s v="pompe d'huile "/>
    <s v="c"/>
    <x v="289"/>
    <s v="154180_x000a_154182_x000a_154191_x000a_154185_x000a_154183"/>
    <n v="3990"/>
    <n v="5310"/>
    <x v="205"/>
    <x v="0"/>
    <m/>
    <x v="0"/>
    <x v="0"/>
  </r>
  <r>
    <x v="212"/>
    <x v="17"/>
    <s v="Bus de transport"/>
    <x v="11"/>
    <s v="18516-A-73"/>
    <n v="24996"/>
    <x v="35"/>
    <s v="des lampes "/>
    <s v="c"/>
    <x v="290"/>
    <n v="154176"/>
    <n v="180"/>
    <n v="180"/>
    <x v="206"/>
    <x v="0"/>
    <m/>
    <x v="0"/>
    <x v="0"/>
  </r>
  <r>
    <x v="212"/>
    <x v="19"/>
    <s v="Chargeur"/>
    <x v="12"/>
    <s v="-"/>
    <n v="24997"/>
    <x v="35"/>
    <s v="des lampes "/>
    <s v="c"/>
    <x v="56"/>
    <n v="154177"/>
    <n v="120"/>
    <n v="120"/>
    <x v="206"/>
    <x v="0"/>
    <m/>
    <x v="0"/>
    <x v="0"/>
  </r>
  <r>
    <x v="213"/>
    <x v="7"/>
    <s v="Camion"/>
    <x v="5"/>
    <s v=" 11469-A-73"/>
    <n v="24999"/>
    <x v="0"/>
    <s v="vidange"/>
    <s v="P"/>
    <x v="291"/>
    <n v="154181"/>
    <n v="120"/>
    <n v="120"/>
    <x v="207"/>
    <x v="0"/>
    <m/>
    <x v="0"/>
    <x v="0"/>
  </r>
  <r>
    <x v="213"/>
    <x v="3"/>
    <s v="Camion"/>
    <x v="3"/>
    <s v="22300-A-73"/>
    <n v="23501"/>
    <x v="24"/>
    <s v="des lampes "/>
    <s v="c"/>
    <x v="56"/>
    <n v="154184"/>
    <n v="120"/>
    <n v="120"/>
    <x v="207"/>
    <x v="0"/>
    <m/>
    <x v="0"/>
    <x v="0"/>
  </r>
  <r>
    <x v="214"/>
    <x v="17"/>
    <s v="Bus de transport"/>
    <x v="11"/>
    <s v="18516-A-73"/>
    <n v="23502"/>
    <x v="25"/>
    <s v="rétroveseur endommagé"/>
    <s v="c"/>
    <x v="292"/>
    <n v="1554188"/>
    <n v="120"/>
    <n v="120"/>
    <x v="78"/>
    <x v="0"/>
    <m/>
    <x v="0"/>
    <x v="0"/>
  </r>
  <r>
    <x v="214"/>
    <x v="28"/>
    <s v="Chariot elevateur"/>
    <x v="13"/>
    <s v="-"/>
    <n v="23504"/>
    <x v="0"/>
    <s v="vidange"/>
    <s v="P"/>
    <x v="293"/>
    <n v="154190"/>
    <n v="60"/>
    <n v="60"/>
    <x v="78"/>
    <x v="0"/>
    <m/>
    <x v="0"/>
    <x v="0"/>
  </r>
  <r>
    <x v="215"/>
    <x v="15"/>
    <s v="Chariot elevateur"/>
    <x v="10"/>
    <s v="-"/>
    <n v="23506"/>
    <x v="0"/>
    <s v="mise a niveau"/>
    <s v="P"/>
    <x v="294"/>
    <n v="154193"/>
    <n v="30"/>
    <n v="30"/>
    <x v="208"/>
    <x v="0"/>
    <m/>
    <x v="0"/>
    <x v="0"/>
  </r>
  <r>
    <x v="216"/>
    <x v="9"/>
    <s v="Bus de transport"/>
    <x v="7"/>
    <s v="22772-A-73"/>
    <n v="23511"/>
    <x v="0"/>
    <s v="vidange"/>
    <s v="P"/>
    <x v="295"/>
    <n v="154560"/>
    <n v="120"/>
    <n v="120"/>
    <x v="204"/>
    <x v="0"/>
    <m/>
    <x v="0"/>
    <x v="0"/>
  </r>
  <r>
    <x v="217"/>
    <x v="4"/>
    <s v="Camion"/>
    <x v="3"/>
    <s v="22299-A-73"/>
    <n v="23513"/>
    <x v="35"/>
    <s v="des lampes "/>
    <s v="c"/>
    <x v="48"/>
    <n v="154571"/>
    <n v="120"/>
    <n v="120"/>
    <x v="209"/>
    <x v="0"/>
    <m/>
    <x v="0"/>
    <x v="0"/>
  </r>
  <r>
    <x v="217"/>
    <x v="27"/>
    <s v="Voiture de fonction"/>
    <x v="0"/>
    <s v=" 9660 -A-73"/>
    <n v="23514"/>
    <x v="4"/>
    <s v="des courroies "/>
    <s v="c"/>
    <x v="296"/>
    <n v="154574"/>
    <n v="570"/>
    <n v="570"/>
    <x v="209"/>
    <x v="0"/>
    <m/>
    <x v="0"/>
    <x v="0"/>
  </r>
  <r>
    <x v="218"/>
    <x v="18"/>
    <s v="Camion"/>
    <x v="5"/>
    <s v="4969-A-73 "/>
    <n v="23515"/>
    <x v="16"/>
    <s v="usure des pneus"/>
    <s v="c"/>
    <x v="297"/>
    <n v="154576"/>
    <n v="120"/>
    <n v="120"/>
    <x v="210"/>
    <x v="0"/>
    <m/>
    <x v="0"/>
    <x v="0"/>
  </r>
  <r>
    <x v="219"/>
    <x v="17"/>
    <s v="Bus de transport"/>
    <x v="11"/>
    <s v="18516-A-73"/>
    <n v="23514"/>
    <x v="0"/>
    <s v="vidange"/>
    <s v="P"/>
    <x v="298"/>
    <m/>
    <m/>
    <s v=""/>
    <x v="57"/>
    <x v="0"/>
    <m/>
    <x v="0"/>
    <x v="0"/>
  </r>
  <r>
    <x v="220"/>
    <x v="1"/>
    <s v="Camion"/>
    <x v="1"/>
    <s v="26128-A-8"/>
    <n v="23516"/>
    <x v="7"/>
    <s v="pompe d'embrayage "/>
    <s v="c"/>
    <x v="299"/>
    <n v="1554589"/>
    <n v="570"/>
    <n v="1145"/>
    <x v="211"/>
    <x v="0"/>
    <m/>
    <x v="0"/>
    <x v="0"/>
  </r>
  <r>
    <x v="220"/>
    <x v="5"/>
    <s v="Semi remorque"/>
    <x v="3"/>
    <s v="70352-A-6"/>
    <n v="23971"/>
    <x v="23"/>
    <s v="appareille d'air "/>
    <s v="c"/>
    <x v="300"/>
    <n v="154722"/>
    <n v="240"/>
    <n v="240"/>
    <x v="212"/>
    <x v="0"/>
    <m/>
    <x v="0"/>
    <x v="0"/>
  </r>
  <r>
    <x v="221"/>
    <x v="2"/>
    <s v="Chariot elevateur"/>
    <x v="2"/>
    <s v="-"/>
    <n v="23972"/>
    <x v="0"/>
    <s v="vidange"/>
    <s v="P"/>
    <x v="133"/>
    <n v="154723"/>
    <n v="180"/>
    <n v="180"/>
    <x v="212"/>
    <x v="0"/>
    <m/>
    <x v="0"/>
    <x v="0"/>
  </r>
  <r>
    <x v="221"/>
    <x v="12"/>
    <s v="Semi remorque"/>
    <x v="23"/>
    <s v="17885-A-73 "/>
    <n v="23973"/>
    <x v="16"/>
    <s v="usure des pneus"/>
    <s v="c"/>
    <x v="301"/>
    <n v="154725"/>
    <n v="120"/>
    <n v="120"/>
    <x v="212"/>
    <x v="0"/>
    <m/>
    <x v="0"/>
    <x v="0"/>
  </r>
  <r>
    <x v="222"/>
    <x v="23"/>
    <s v="Semi remorque"/>
    <x v="6"/>
    <s v="706-A-73"/>
    <n v="23523"/>
    <x v="12"/>
    <s v="boite vitesse "/>
    <s v="c"/>
    <x v="302"/>
    <n v="155811"/>
    <n v="1710"/>
    <n v="2850"/>
    <x v="213"/>
    <x v="0"/>
    <m/>
    <x v="0"/>
    <x v="0"/>
  </r>
  <r>
    <x v="223"/>
    <x v="10"/>
    <s v="Camion"/>
    <x v="8"/>
    <s v="25636-A-13"/>
    <n v="23974"/>
    <x v="19"/>
    <s v="achat"/>
    <s v="c"/>
    <x v="303"/>
    <n v="154738"/>
    <n v="2"/>
    <n v="2"/>
    <x v="211"/>
    <x v="0"/>
    <m/>
    <x v="0"/>
    <x v="0"/>
  </r>
  <r>
    <x v="223"/>
    <x v="18"/>
    <s v="Camion"/>
    <x v="5"/>
    <s v="4969-A-73 "/>
    <n v="23975"/>
    <x v="0"/>
    <s v="vidange"/>
    <s v="P"/>
    <x v="304"/>
    <n v="154740"/>
    <n v="60"/>
    <n v="60"/>
    <x v="211"/>
    <x v="0"/>
    <m/>
    <x v="0"/>
    <x v="0"/>
  </r>
  <r>
    <x v="223"/>
    <x v="15"/>
    <s v="Chariot elevateur"/>
    <x v="10"/>
    <s v="-"/>
    <n v="23979"/>
    <x v="21"/>
    <s v="flexible percé"/>
    <s v="c"/>
    <x v="305"/>
    <n v="156309"/>
    <n v="60"/>
    <n v="60"/>
    <x v="211"/>
    <x v="0"/>
    <m/>
    <x v="0"/>
    <x v="0"/>
  </r>
  <r>
    <x v="224"/>
    <x v="15"/>
    <s v="Chariot elevateur"/>
    <x v="10"/>
    <s v="-"/>
    <n v="23517"/>
    <x v="57"/>
    <s v="des roullement "/>
    <s v="c"/>
    <x v="306"/>
    <n v="154581"/>
    <n v="1140"/>
    <n v="1140"/>
    <x v="214"/>
    <x v="0"/>
    <m/>
    <x v="0"/>
    <x v="0"/>
  </r>
  <r>
    <x v="225"/>
    <x v="7"/>
    <s v="Camion"/>
    <x v="5"/>
    <s v=" 11469-A-73"/>
    <n v="23980"/>
    <x v="16"/>
    <s v="usure des pneus"/>
    <s v="c"/>
    <x v="307"/>
    <n v="156314"/>
    <n v="120"/>
    <n v="120"/>
    <x v="215"/>
    <x v="0"/>
    <m/>
    <x v="0"/>
    <x v="0"/>
  </r>
  <r>
    <x v="226"/>
    <x v="7"/>
    <s v="Camion"/>
    <x v="5"/>
    <s v=" 11469-A-73"/>
    <n v="23976"/>
    <x v="0"/>
    <s v="vidange"/>
    <s v="P"/>
    <x v="308"/>
    <n v="154748"/>
    <n v="30"/>
    <n v="30"/>
    <x v="214"/>
    <x v="0"/>
    <m/>
    <x v="0"/>
    <x v="0"/>
  </r>
  <r>
    <x v="227"/>
    <x v="4"/>
    <s v="Camion"/>
    <x v="3"/>
    <s v="22299-A-73"/>
    <n v="23518"/>
    <x v="0"/>
    <s v="mise a niveau"/>
    <s v="c"/>
    <x v="130"/>
    <n v="155801"/>
    <n v="30"/>
    <n v="30"/>
    <x v="216"/>
    <x v="0"/>
    <m/>
    <x v="0"/>
    <x v="0"/>
  </r>
  <r>
    <x v="227"/>
    <x v="4"/>
    <s v="Camion"/>
    <x v="3"/>
    <s v="22299-A-73"/>
    <n v="23977"/>
    <x v="21"/>
    <s v="flexible percé"/>
    <s v="c"/>
    <x v="183"/>
    <n v="154750"/>
    <n v="570"/>
    <n v="570"/>
    <x v="216"/>
    <x v="0"/>
    <m/>
    <x v="0"/>
    <x v="0"/>
  </r>
  <r>
    <x v="228"/>
    <x v="33"/>
    <s v="Chariot elevateur"/>
    <x v="18"/>
    <s v="-"/>
    <n v="23520"/>
    <x v="44"/>
    <s v="solinoide d'arrét moteur "/>
    <s v="c"/>
    <x v="309"/>
    <n v="155804"/>
    <n v="180"/>
    <n v="180"/>
    <x v="217"/>
    <x v="0"/>
    <m/>
    <x v="0"/>
    <x v="0"/>
  </r>
  <r>
    <x v="228"/>
    <x v="19"/>
    <s v="Chargeur"/>
    <x v="12"/>
    <s v="-"/>
    <n v="23536"/>
    <x v="27"/>
    <s v="moteur endommagé"/>
    <s v="c"/>
    <x v="310"/>
    <s v="155810_x000a_155815_x000a_155825_x000a_155826_x000a_155830_x000a_155829_x000a_156029_x000a_156020_x000a_156301_x000a_156302_x000a_156047_x000a_156046_x000a_156033_x000a_156041"/>
    <n v="5700"/>
    <n v="14820"/>
    <x v="218"/>
    <x v="0"/>
    <m/>
    <x v="0"/>
    <x v="0"/>
  </r>
  <r>
    <x v="229"/>
    <x v="6"/>
    <s v="Pick up"/>
    <x v="4"/>
    <s v="22368-A-73"/>
    <n v="23521"/>
    <x v="25"/>
    <s v="rétroveseur endommagé"/>
    <s v="c"/>
    <x v="311"/>
    <n v="155807"/>
    <n v="60"/>
    <n v="60"/>
    <x v="219"/>
    <x v="0"/>
    <m/>
    <x v="0"/>
    <x v="0"/>
  </r>
  <r>
    <x v="229"/>
    <x v="8"/>
    <s v="Semi remorque"/>
    <x v="6"/>
    <s v="28659-D-1 "/>
    <n v="23522"/>
    <x v="58"/>
    <s v="boite vitesse "/>
    <s v="c"/>
    <x v="312"/>
    <n v="155808"/>
    <n v="120"/>
    <n v="120"/>
    <x v="219"/>
    <x v="0"/>
    <m/>
    <x v="0"/>
    <x v="0"/>
  </r>
  <r>
    <x v="230"/>
    <x v="2"/>
    <s v="Chariot elevateur"/>
    <x v="2"/>
    <s v="-"/>
    <n v="23524"/>
    <x v="27"/>
    <s v="electrovane"/>
    <s v="c"/>
    <x v="313"/>
    <n v="155813"/>
    <n v="120"/>
    <n v="120"/>
    <x v="213"/>
    <x v="0"/>
    <m/>
    <x v="0"/>
    <x v="0"/>
  </r>
  <r>
    <x v="230"/>
    <x v="10"/>
    <s v="Camion"/>
    <x v="8"/>
    <s v="25636-A-13"/>
    <n v="23525"/>
    <x v="35"/>
    <s v="des lampes "/>
    <s v="c"/>
    <x v="56"/>
    <n v="155814"/>
    <n v="30"/>
    <n v="30"/>
    <x v="213"/>
    <x v="0"/>
    <m/>
    <x v="0"/>
    <x v="0"/>
  </r>
  <r>
    <x v="230"/>
    <x v="26"/>
    <s v="Chariot elevateur"/>
    <x v="15"/>
    <s v="-"/>
    <n v="23544"/>
    <x v="57"/>
    <s v="usure des pneus"/>
    <s v="c"/>
    <x v="314"/>
    <s v="156008_x000a_156024_x000a_156021_x000a_156015_x000a_156007_x000a_"/>
    <n v="3420"/>
    <n v="9120"/>
    <x v="220"/>
    <x v="0"/>
    <m/>
    <x v="0"/>
    <x v="0"/>
  </r>
  <r>
    <x v="231"/>
    <x v="16"/>
    <s v="Camion"/>
    <x v="5"/>
    <s v="11470-A-73"/>
    <n v="23526"/>
    <x v="16"/>
    <s v="pneu percé"/>
    <s v="c"/>
    <x v="315"/>
    <n v="155816"/>
    <n v="60"/>
    <n v="60"/>
    <x v="221"/>
    <x v="0"/>
    <m/>
    <x v="0"/>
    <x v="0"/>
  </r>
  <r>
    <x v="231"/>
    <x v="23"/>
    <s v="Semi remorque"/>
    <x v="6"/>
    <s v="706-A-73"/>
    <n v="23527"/>
    <x v="0"/>
    <s v="des filtres "/>
    <s v="c"/>
    <x v="316"/>
    <n v="155817"/>
    <n v="60"/>
    <n v="60"/>
    <x v="221"/>
    <x v="0"/>
    <m/>
    <x v="0"/>
    <x v="0"/>
  </r>
  <r>
    <x v="231"/>
    <x v="14"/>
    <s v="Balayeuse"/>
    <x v="9"/>
    <s v="-"/>
    <n v="23528"/>
    <x v="31"/>
    <s v="pipe d'eau"/>
    <s v="c"/>
    <x v="317"/>
    <n v="155818"/>
    <n v="180"/>
    <n v="180"/>
    <x v="221"/>
    <x v="0"/>
    <m/>
    <x v="0"/>
    <x v="0"/>
  </r>
  <r>
    <x v="231"/>
    <x v="12"/>
    <s v="Semi remorque"/>
    <x v="3"/>
    <s v="17885-A-73 "/>
    <n v="23529"/>
    <x v="35"/>
    <s v="des lampes "/>
    <s v="c"/>
    <x v="56"/>
    <n v="155821"/>
    <n v="120"/>
    <n v="120"/>
    <x v="221"/>
    <x v="0"/>
    <m/>
    <x v="0"/>
    <x v="0"/>
  </r>
  <r>
    <x v="232"/>
    <x v="10"/>
    <s v="Camion"/>
    <x v="8"/>
    <s v="25636-A-13"/>
    <n v="23530"/>
    <x v="0"/>
    <s v="vidange"/>
    <s v="c"/>
    <x v="318"/>
    <n v="155823"/>
    <n v="570"/>
    <n v="570"/>
    <x v="222"/>
    <x v="0"/>
    <m/>
    <x v="0"/>
    <x v="0"/>
  </r>
  <r>
    <x v="232"/>
    <x v="1"/>
    <s v="Camion"/>
    <x v="1"/>
    <s v="26128-A-8"/>
    <n v="23531"/>
    <x v="16"/>
    <s v="usure des pneus"/>
    <s v="c"/>
    <x v="319"/>
    <n v="155824"/>
    <n v="120"/>
    <n v="120"/>
    <x v="222"/>
    <x v="0"/>
    <m/>
    <x v="0"/>
    <x v="0"/>
  </r>
  <r>
    <x v="232"/>
    <x v="27"/>
    <s v="Voiture de fonction"/>
    <x v="0"/>
    <s v=" 9660 -A-73"/>
    <n v="23537"/>
    <x v="4"/>
    <s v="pot d'echappement "/>
    <s v="c"/>
    <x v="320"/>
    <s v="155882_x000a_155832_x000a_156009_x000a_156012_x000a_156019"/>
    <n v="3420"/>
    <n v="5700"/>
    <x v="223"/>
    <x v="0"/>
    <m/>
    <x v="0"/>
    <x v="0"/>
  </r>
  <r>
    <x v="232"/>
    <x v="18"/>
    <s v="Camion"/>
    <x v="5"/>
    <s v="4969-A-73 "/>
    <n v="23838"/>
    <x v="0"/>
    <s v="vidange"/>
    <s v="P"/>
    <x v="321"/>
    <n v="148839"/>
    <n v="120"/>
    <n v="120"/>
    <x v="222"/>
    <x v="0"/>
    <m/>
    <x v="0"/>
    <x v="0"/>
  </r>
  <r>
    <x v="233"/>
    <x v="17"/>
    <s v="Bus de transport"/>
    <x v="11"/>
    <s v="18516-A-73"/>
    <n v="23978"/>
    <x v="59"/>
    <s v="accident"/>
    <s v="c"/>
    <x v="322"/>
    <s v="154743_x000a_154728_x000a_154717_x000a_154711_x000a_154703"/>
    <n v="5700"/>
    <n v="5700"/>
    <x v="220"/>
    <x v="0"/>
    <m/>
    <x v="0"/>
    <x v="0"/>
  </r>
  <r>
    <x v="234"/>
    <x v="16"/>
    <s v="Camion"/>
    <x v="5"/>
    <s v="11470-A-73"/>
    <n v="23533"/>
    <x v="0"/>
    <s v="vidange"/>
    <s v="P"/>
    <x v="323"/>
    <n v="155931"/>
    <n v="120"/>
    <n v="120"/>
    <x v="224"/>
    <x v="0"/>
    <m/>
    <x v="0"/>
    <x v="0"/>
  </r>
  <r>
    <x v="235"/>
    <x v="30"/>
    <s v=""/>
    <x v="24"/>
    <s v=" "/>
    <n v="23532"/>
    <x v="40"/>
    <s v="des epi"/>
    <s v="c"/>
    <x v="324"/>
    <n v="155833"/>
    <n v="30"/>
    <n v="30"/>
    <x v="225"/>
    <x v="0"/>
    <m/>
    <x v="0"/>
    <x v="0"/>
  </r>
  <r>
    <x v="235"/>
    <x v="33"/>
    <s v="Chariot elevateur"/>
    <x v="18"/>
    <s v="-"/>
    <n v="23534"/>
    <x v="0"/>
    <s v="vidange"/>
    <s v="P"/>
    <x v="325"/>
    <m/>
    <m/>
    <s v=""/>
    <x v="57"/>
    <x v="0"/>
    <m/>
    <x v="0"/>
    <x v="0"/>
  </r>
  <r>
    <x v="235"/>
    <x v="11"/>
    <s v="Semi remorque"/>
    <x v="3"/>
    <s v="17886-A-73 "/>
    <n v="23539"/>
    <x v="35"/>
    <s v="des lampes "/>
    <s v="c"/>
    <x v="56"/>
    <n v="155839"/>
    <n v="120"/>
    <n v="120"/>
    <x v="225"/>
    <x v="0"/>
    <m/>
    <x v="0"/>
    <x v="0"/>
  </r>
  <r>
    <x v="236"/>
    <x v="13"/>
    <s v="Camion"/>
    <x v="5"/>
    <s v="4703-A-73"/>
    <n v="23535"/>
    <x v="0"/>
    <s v="vidange"/>
    <s v="c"/>
    <x v="326"/>
    <n v="155836"/>
    <n v="180"/>
    <n v="180"/>
    <x v="226"/>
    <x v="0"/>
    <m/>
    <x v="0"/>
    <x v="0"/>
  </r>
  <r>
    <x v="237"/>
    <x v="10"/>
    <s v="Camion"/>
    <x v="8"/>
    <s v="25636-A-13"/>
    <n v="23507"/>
    <x v="35"/>
    <s v="des lampes "/>
    <s v="c"/>
    <x v="327"/>
    <n v="154194"/>
    <n v="60"/>
    <n v="60"/>
    <x v="208"/>
    <x v="0"/>
    <m/>
    <x v="0"/>
    <x v="0"/>
  </r>
  <r>
    <x v="238"/>
    <x v="12"/>
    <s v="Semi remorque"/>
    <x v="3"/>
    <s v="17885-A-73 "/>
    <n v="23508"/>
    <x v="28"/>
    <s v="tuyau percé"/>
    <s v="c"/>
    <x v="328"/>
    <s v="154553_x000a_154558"/>
    <n v="120"/>
    <n v="120"/>
    <x v="208"/>
    <x v="0"/>
    <m/>
    <x v="0"/>
    <x v="0"/>
  </r>
  <r>
    <x v="238"/>
    <x v="17"/>
    <s v="Bus de transport"/>
    <x v="11"/>
    <s v="18516-A-73"/>
    <n v="23519"/>
    <x v="7"/>
    <s v="disque d'embrayage "/>
    <s v="c"/>
    <x v="329"/>
    <n v="155803"/>
    <n v="1710"/>
    <n v="4550"/>
    <x v="214"/>
    <x v="0"/>
    <m/>
    <x v="0"/>
    <x v="0"/>
  </r>
  <r>
    <x v="238"/>
    <x v="32"/>
    <s v="Chariot elevateur"/>
    <x v="2"/>
    <s v="-"/>
    <n v="23541"/>
    <x v="0"/>
    <s v="vidange"/>
    <s v="P"/>
    <x v="330"/>
    <n v="156001"/>
    <n v="120"/>
    <n v="120"/>
    <x v="227"/>
    <x v="0"/>
    <m/>
    <x v="0"/>
    <x v="0"/>
  </r>
  <r>
    <x v="238"/>
    <x v="4"/>
    <s v="Camion"/>
    <x v="3"/>
    <s v="22299-A-73"/>
    <n v="23542"/>
    <x v="16"/>
    <s v="usure des pneus"/>
    <s v="c"/>
    <x v="331"/>
    <n v="156002"/>
    <n v="120"/>
    <n v="120"/>
    <x v="227"/>
    <x v="0"/>
    <m/>
    <x v="0"/>
    <x v="0"/>
  </r>
  <r>
    <x v="239"/>
    <x v="12"/>
    <s v="Semi remorque"/>
    <x v="3"/>
    <s v="17885-A-73 "/>
    <n v="23543"/>
    <x v="16"/>
    <s v="usure des pneus"/>
    <s v="c"/>
    <x v="332"/>
    <n v="156006"/>
    <n v="120"/>
    <n v="120"/>
    <x v="228"/>
    <x v="0"/>
    <m/>
    <x v="0"/>
    <x v="0"/>
  </r>
  <r>
    <x v="240"/>
    <x v="32"/>
    <s v="Chariot elevateur"/>
    <x v="2"/>
    <s v="-"/>
    <n v="23509"/>
    <x v="27"/>
    <s v="cosse battrie "/>
    <s v="c"/>
    <x v="167"/>
    <n v="154555"/>
    <n v="120"/>
    <n v="120"/>
    <x v="205"/>
    <x v="0"/>
    <m/>
    <x v="0"/>
    <x v="0"/>
  </r>
  <r>
    <x v="240"/>
    <x v="23"/>
    <s v="Semi remorque"/>
    <x v="6"/>
    <s v="706-A-73"/>
    <n v="23510"/>
    <x v="27"/>
    <s v="battrie de démarrage "/>
    <s v="c"/>
    <x v="333"/>
    <n v="154559"/>
    <n v="120"/>
    <n v="120"/>
    <x v="205"/>
    <x v="0"/>
    <m/>
    <x v="0"/>
    <x v="0"/>
  </r>
  <r>
    <x v="240"/>
    <x v="9"/>
    <s v="Bus de transport"/>
    <x v="7"/>
    <s v="22772-A-73"/>
    <n v="23545"/>
    <x v="25"/>
    <s v="vitre avant "/>
    <s v="c"/>
    <x v="334"/>
    <n v="156010"/>
    <n v="30"/>
    <n v="30"/>
    <x v="229"/>
    <x v="0"/>
    <m/>
    <x v="0"/>
    <x v="0"/>
  </r>
  <r>
    <x v="240"/>
    <x v="21"/>
    <s v="Chariot elevateur"/>
    <x v="13"/>
    <s v="-"/>
    <n v="23546"/>
    <x v="0"/>
    <s v="mise a niveau"/>
    <s v="P"/>
    <x v="16"/>
    <n v="156011"/>
    <n v="30"/>
    <n v="30"/>
    <x v="229"/>
    <x v="0"/>
    <m/>
    <x v="0"/>
    <x v="0"/>
  </r>
  <r>
    <x v="241"/>
    <x v="17"/>
    <s v="Bus de transport"/>
    <x v="11"/>
    <s v="18516-A-73"/>
    <n v="23547"/>
    <x v="35"/>
    <s v="des lampes "/>
    <s v="c"/>
    <x v="56"/>
    <n v="156016"/>
    <n v="60"/>
    <n v="60"/>
    <x v="230"/>
    <x v="0"/>
    <m/>
    <x v="0"/>
    <x v="0"/>
  </r>
  <r>
    <x v="241"/>
    <x v="13"/>
    <s v="Camion"/>
    <x v="5"/>
    <s v="4703-A-73"/>
    <n v="23548"/>
    <x v="35"/>
    <s v="des lampes "/>
    <s v="c"/>
    <x v="56"/>
    <n v="156017"/>
    <n v="120"/>
    <n v="120"/>
    <x v="223"/>
    <x v="0"/>
    <m/>
    <x v="0"/>
    <x v="0"/>
  </r>
  <r>
    <x v="242"/>
    <x v="1"/>
    <s v="Camion"/>
    <x v="1"/>
    <s v="26128-A-8"/>
    <n v="23549"/>
    <x v="25"/>
    <s v="filet on nylon "/>
    <s v="c"/>
    <x v="335"/>
    <n v="156018"/>
    <n v="30"/>
    <n v="30"/>
    <x v="223"/>
    <x v="0"/>
    <m/>
    <x v="0"/>
    <x v="0"/>
  </r>
  <r>
    <x v="242"/>
    <x v="7"/>
    <s v="Camion"/>
    <x v="5"/>
    <s v=" 11469-A-73"/>
    <n v="23550"/>
    <x v="35"/>
    <s v="des lampes "/>
    <s v="c"/>
    <x v="56"/>
    <n v="156022"/>
    <n v="120"/>
    <n v="120"/>
    <x v="223"/>
    <x v="0"/>
    <m/>
    <x v="0"/>
    <x v="0"/>
  </r>
  <r>
    <x v="242"/>
    <x v="13"/>
    <s v="Camion"/>
    <x v="5"/>
    <s v="4703-A-73"/>
    <n v="23951"/>
    <x v="25"/>
    <s v="plaque signalitique"/>
    <s v="c"/>
    <x v="336"/>
    <n v="156023"/>
    <n v="60"/>
    <n v="60"/>
    <x v="223"/>
    <x v="0"/>
    <m/>
    <x v="0"/>
    <x v="0"/>
  </r>
  <r>
    <x v="242"/>
    <x v="23"/>
    <s v="Semi remorque"/>
    <x v="6"/>
    <s v="706-A-73"/>
    <n v="23952"/>
    <x v="60"/>
    <s v="injecteur endommagé"/>
    <s v="c"/>
    <x v="337"/>
    <s v="156025_x000a_156027"/>
    <n v="2280"/>
    <n v="2280"/>
    <x v="231"/>
    <x v="0"/>
    <m/>
    <x v="0"/>
    <x v="0"/>
  </r>
  <r>
    <x v="243"/>
    <x v="20"/>
    <s v="Camion"/>
    <x v="6"/>
    <s v="4790-B-8"/>
    <n v="23953"/>
    <x v="0"/>
    <s v="vidange"/>
    <s v="P"/>
    <x v="338"/>
    <n v="156026"/>
    <n v="60"/>
    <n v="60"/>
    <x v="232"/>
    <x v="0"/>
    <m/>
    <x v="0"/>
    <x v="0"/>
  </r>
  <r>
    <x v="243"/>
    <x v="22"/>
    <s v="Chariot elevateur"/>
    <x v="14"/>
    <s v="-"/>
    <n v="23957"/>
    <x v="27"/>
    <s v="démarreur"/>
    <s v="c"/>
    <x v="339"/>
    <n v="156032"/>
    <n v="570"/>
    <n v="570"/>
    <x v="233"/>
    <x v="0"/>
    <m/>
    <x v="0"/>
    <x v="0"/>
  </r>
  <r>
    <x v="244"/>
    <x v="22"/>
    <s v="Chariot elevateur"/>
    <x v="14"/>
    <s v="-"/>
    <n v="23954"/>
    <x v="0"/>
    <s v="vidange"/>
    <s v="P"/>
    <x v="340"/>
    <n v="156028"/>
    <n v="60"/>
    <n v="60"/>
    <x v="234"/>
    <x v="0"/>
    <m/>
    <x v="0"/>
    <x v="0"/>
  </r>
  <r>
    <x v="245"/>
    <x v="2"/>
    <s v="Chariot elevateur"/>
    <x v="2"/>
    <s v="-"/>
    <n v="23955"/>
    <x v="27"/>
    <s v="démarreur"/>
    <s v="c"/>
    <x v="341"/>
    <n v="156031"/>
    <n v="120"/>
    <n v="120"/>
    <x v="231"/>
    <x v="0"/>
    <m/>
    <x v="0"/>
    <x v="0"/>
  </r>
  <r>
    <x v="245"/>
    <x v="17"/>
    <s v="Bus de transport"/>
    <x v="11"/>
    <s v="18516-A-73"/>
    <n v="23956"/>
    <x v="25"/>
    <s v="pare choc avant"/>
    <s v="c"/>
    <x v="342"/>
    <s v="156030_x000a_156303"/>
    <n v="570"/>
    <n v="570"/>
    <x v="235"/>
    <x v="0"/>
    <m/>
    <x v="0"/>
    <x v="0"/>
  </r>
  <r>
    <x v="246"/>
    <x v="28"/>
    <s v="Chariot elevateur"/>
    <x v="13"/>
    <s v="-"/>
    <n v="23958"/>
    <x v="27"/>
    <s v="battrie de démarrage "/>
    <s v="c"/>
    <x v="343"/>
    <n v="156034"/>
    <n v="120"/>
    <n v="120"/>
    <x v="233"/>
    <x v="0"/>
    <m/>
    <x v="0"/>
    <x v="0"/>
  </r>
  <r>
    <x v="246"/>
    <x v="4"/>
    <s v="Camion"/>
    <x v="3"/>
    <s v="22299-A-73"/>
    <n v="23959"/>
    <x v="35"/>
    <s v="des lampes "/>
    <s v="c"/>
    <x v="146"/>
    <n v="1566035"/>
    <n v="60"/>
    <n v="60"/>
    <x v="233"/>
    <x v="0"/>
    <m/>
    <x v="0"/>
    <x v="0"/>
  </r>
  <r>
    <x v="247"/>
    <x v="8"/>
    <s v="Semi remorque"/>
    <x v="6"/>
    <s v="28659-D-1 "/>
    <n v="23960"/>
    <x v="0"/>
    <s v="filtre a air"/>
    <s v="P"/>
    <x v="344"/>
    <n v="156037"/>
    <n v="30"/>
    <n v="30"/>
    <x v="220"/>
    <x v="0"/>
    <m/>
    <x v="0"/>
    <x v="0"/>
  </r>
  <r>
    <x v="247"/>
    <x v="30"/>
    <s v="atelier "/>
    <x v="24"/>
    <s v=" "/>
    <n v="23961"/>
    <x v="41"/>
    <s v=" "/>
    <s v="c"/>
    <x v="345"/>
    <n v="156038"/>
    <n v="30"/>
    <n v="30"/>
    <x v="220"/>
    <x v="0"/>
    <m/>
    <x v="0"/>
    <x v="0"/>
  </r>
  <r>
    <x v="247"/>
    <x v="10"/>
    <s v="Camion"/>
    <x v="8"/>
    <s v="25636-A-13"/>
    <n v="23962"/>
    <x v="35"/>
    <s v="des lampes "/>
    <s v="c"/>
    <x v="266"/>
    <n v="156040"/>
    <n v="30"/>
    <n v="30"/>
    <x v="236"/>
    <x v="0"/>
    <m/>
    <x v="0"/>
    <x v="0"/>
  </r>
  <r>
    <x v="248"/>
    <x v="24"/>
    <s v="Voiture de fonction"/>
    <x v="0"/>
    <s v="10551-A-73"/>
    <n v="23963"/>
    <x v="0"/>
    <s v="vidange"/>
    <s v="P"/>
    <x v="346"/>
    <n v="156045"/>
    <n v="60"/>
    <n v="60"/>
    <x v="236"/>
    <x v="0"/>
    <m/>
    <x v="0"/>
    <x v="0"/>
  </r>
  <r>
    <x v="249"/>
    <x v="21"/>
    <s v="Chariot elevateur"/>
    <x v="13"/>
    <s v="-"/>
    <n v="23965"/>
    <x v="21"/>
    <s v="boitier de direction "/>
    <s v="c"/>
    <x v="347"/>
    <s v="157714_x000a_157725_x000a_157730_x000a_157739_x000a_157743"/>
    <n v="3240"/>
    <n v="14040"/>
    <x v="237"/>
    <x v="0"/>
    <m/>
    <x v="0"/>
    <x v="0"/>
  </r>
  <r>
    <x v="249"/>
    <x v="21"/>
    <s v="Chariot elevateur"/>
    <x v="13"/>
    <s v="-"/>
    <n v="24119"/>
    <x v="21"/>
    <s v="boitier de direction "/>
    <s v="c"/>
    <x v="348"/>
    <s v="159610_x000a_160479_x000a_160476_x000a_160621_x000a_159608_x000a_159606_x000a_159601_x000a_158494_x000a_158438_x000a_158490_x000a_158208_x000a_158203"/>
    <n v="4560"/>
    <n v="14800"/>
    <x v="238"/>
    <x v="0"/>
    <m/>
    <x v="0"/>
    <x v="0"/>
  </r>
  <r>
    <x v="250"/>
    <x v="28"/>
    <s v="Chariot elevateur"/>
    <x v="13"/>
    <s v="-"/>
    <n v="23964"/>
    <x v="61"/>
    <s v="vis de fixation"/>
    <s v="c"/>
    <x v="349"/>
    <n v="156044"/>
    <n v="1710"/>
    <n v="5700"/>
    <x v="239"/>
    <x v="0"/>
    <m/>
    <x v="0"/>
    <x v="0"/>
  </r>
  <r>
    <x v="250"/>
    <x v="22"/>
    <s v="Chariot elevateur"/>
    <x v="14"/>
    <s v="-"/>
    <n v="23966"/>
    <x v="16"/>
    <s v="peueclaté"/>
    <s v="c"/>
    <x v="350"/>
    <n v="157244"/>
    <n v="240"/>
    <n v="3990"/>
    <x v="240"/>
    <x v="0"/>
    <m/>
    <x v="0"/>
    <x v="0"/>
  </r>
  <r>
    <x v="250"/>
    <x v="1"/>
    <s v="Camion"/>
    <x v="1"/>
    <s v="26128-A-8"/>
    <n v="23970"/>
    <x v="27"/>
    <s v="battrie de démarrage "/>
    <s v="c"/>
    <x v="351"/>
    <n v="154721"/>
    <n v="240"/>
    <n v="240"/>
    <x v="241"/>
    <x v="0"/>
    <m/>
    <x v="0"/>
    <x v="0"/>
  </r>
  <r>
    <x v="251"/>
    <x v="29"/>
    <s v="Chariot elevateur"/>
    <x v="16"/>
    <s v="-"/>
    <n v="23967"/>
    <x v="0"/>
    <s v="mise a niveau"/>
    <s v="P"/>
    <x v="352"/>
    <n v="156307"/>
    <n v="30"/>
    <n v="30"/>
    <x v="242"/>
    <x v="0"/>
    <m/>
    <x v="0"/>
    <x v="0"/>
  </r>
  <r>
    <x v="252"/>
    <x v="15"/>
    <s v="Chariot elevateur"/>
    <x v="10"/>
    <s v="-"/>
    <n v="23996"/>
    <x v="1"/>
    <s v="axe pivot endommagé"/>
    <s v="c"/>
    <x v="353"/>
    <s v="156315_x000a_156336"/>
    <n v="1710"/>
    <n v="5700"/>
    <x v="243"/>
    <x v="0"/>
    <m/>
    <x v="0"/>
    <x v="0"/>
  </r>
  <r>
    <x v="253"/>
    <x v="13"/>
    <s v="Camion"/>
    <x v="5"/>
    <s v="4703-A-73"/>
    <n v="23984"/>
    <x v="62"/>
    <s v="des cables "/>
    <s v="c"/>
    <x v="354"/>
    <n v="165337"/>
    <n v="1140"/>
    <n v="3990"/>
    <x v="244"/>
    <x v="0"/>
    <m/>
    <x v="0"/>
    <x v="0"/>
  </r>
  <r>
    <x v="253"/>
    <x v="5"/>
    <s v="Semi remorque"/>
    <x v="3"/>
    <s v="70352-A-6"/>
    <n v="23985"/>
    <x v="27"/>
    <s v="tableu de bord "/>
    <s v="c"/>
    <x v="355"/>
    <n v="165341"/>
    <n v="2280"/>
    <n v="4560"/>
    <x v="245"/>
    <x v="0"/>
    <m/>
    <x v="0"/>
    <x v="0"/>
  </r>
  <r>
    <x v="254"/>
    <x v="9"/>
    <s v="Bus de transport"/>
    <x v="7"/>
    <s v="22772-A-73"/>
    <n v="23981"/>
    <x v="0"/>
    <s v="vidange"/>
    <s v="P"/>
    <x v="356"/>
    <n v="156321"/>
    <n v="120"/>
    <n v="120"/>
    <x v="246"/>
    <x v="0"/>
    <m/>
    <x v="0"/>
    <x v="0"/>
  </r>
  <r>
    <x v="254"/>
    <x v="2"/>
    <s v="Chariot elevateur"/>
    <x v="2"/>
    <s v="-"/>
    <n v="23982"/>
    <x v="63"/>
    <s v="alternateur de charge battrie "/>
    <s v="c"/>
    <x v="357"/>
    <n v="156322"/>
    <n v="240"/>
    <n v="240"/>
    <x v="246"/>
    <x v="0"/>
    <m/>
    <x v="0"/>
    <x v="0"/>
  </r>
  <r>
    <x v="255"/>
    <x v="10"/>
    <s v="Camion"/>
    <x v="8"/>
    <s v="25636-A-13"/>
    <n v="23983"/>
    <x v="27"/>
    <s v="injectction gsoil"/>
    <s v="c"/>
    <x v="358"/>
    <s v="165329_x000a_165328_x000a_165340"/>
    <n v="570"/>
    <n v="570"/>
    <x v="247"/>
    <x v="0"/>
    <m/>
    <x v="0"/>
    <x v="0"/>
  </r>
  <r>
    <x v="256"/>
    <x v="23"/>
    <s v="Semi remorque"/>
    <x v="6"/>
    <s v="706-A-73"/>
    <n v="23988"/>
    <x v="11"/>
    <s v="garniture de frein"/>
    <s v="c"/>
    <x v="359"/>
    <s v="157735_x000a_157760_x000a_157776_x000a_157767_x000a_157780_x000a_157788_x000a_157782_x000a_157782_x000a_157785_x000a_157786_x000a_157718_x000a_157731"/>
    <n v="4560"/>
    <n v="11400"/>
    <x v="248"/>
    <x v="0"/>
    <m/>
    <x v="0"/>
    <x v="0"/>
  </r>
  <r>
    <x v="257"/>
    <x v="19"/>
    <s v="Chargeur"/>
    <x v="12"/>
    <s v="-"/>
    <n v="23987"/>
    <x v="4"/>
    <s v="moteur endommagé"/>
    <s v="c"/>
    <x v="360"/>
    <s v="157716_x000a_157717_x000a_157746_x000a_157761_x000a_157777_x000a_156311_x000a_156333_x000a_156319_x000a_156344_x000a_156313_x000a_157765_x000a_157764_x000a_156656_x000a_157723"/>
    <n v="3420"/>
    <n v="7980"/>
    <x v="249"/>
    <x v="0"/>
    <m/>
    <x v="0"/>
    <x v="0"/>
  </r>
  <r>
    <x v="258"/>
    <x v="16"/>
    <s v="Camion"/>
    <x v="5"/>
    <s v="11470-A-73"/>
    <n v="23986"/>
    <x v="16"/>
    <s v="usure des pneus"/>
    <s v="c"/>
    <x v="361"/>
    <n v="165343"/>
    <n v="120"/>
    <n v="120"/>
    <x v="243"/>
    <x v="0"/>
    <m/>
    <x v="0"/>
    <x v="0"/>
  </r>
  <r>
    <x v="258"/>
    <x v="10"/>
    <s v="Camion"/>
    <x v="8"/>
    <s v="25636-A-13"/>
    <n v="23989"/>
    <x v="64"/>
    <s v="pompe d'embrayage "/>
    <s v="c"/>
    <x v="362"/>
    <s v="157701_x000a_157708_x000a_157729_x000a_157737_x000a_157741_x000a_157752_x000a_157771_x000a_157755"/>
    <n v="2850"/>
    <n v="6250"/>
    <x v="250"/>
    <x v="0"/>
    <m/>
    <x v="0"/>
    <x v="0"/>
  </r>
  <r>
    <x v="259"/>
    <x v="5"/>
    <s v="Semi remorque"/>
    <x v="3"/>
    <s v="70352-A-6"/>
    <n v="23990"/>
    <x v="27"/>
    <s v="battrie de démarrage "/>
    <s v="c"/>
    <x v="313"/>
    <n v="157703"/>
    <n v="60"/>
    <n v="60"/>
    <x v="245"/>
    <x v="0"/>
    <m/>
    <x v="0"/>
    <x v="0"/>
  </r>
  <r>
    <x v="260"/>
    <x v="16"/>
    <s v="Camion"/>
    <x v="5"/>
    <s v="11470-A-73"/>
    <n v="23991"/>
    <x v="35"/>
    <s v="des lampes "/>
    <s v="c"/>
    <x v="56"/>
    <n v="157704"/>
    <n v="60"/>
    <n v="60"/>
    <x v="251"/>
    <x v="0"/>
    <m/>
    <x v="0"/>
    <x v="0"/>
  </r>
  <r>
    <x v="261"/>
    <x v="9"/>
    <s v="Bus de transport"/>
    <x v="7"/>
    <s v="22772-A-73"/>
    <n v="23992"/>
    <x v="16"/>
    <s v="usure des pneus"/>
    <s v="c"/>
    <x v="363"/>
    <n v="157709"/>
    <n v="120"/>
    <n v="120"/>
    <x v="249"/>
    <x v="0"/>
    <m/>
    <x v="0"/>
    <x v="0"/>
  </r>
  <r>
    <x v="262"/>
    <x v="26"/>
    <s v="Chariot elevateur"/>
    <x v="15"/>
    <s v="-"/>
    <n v="23993"/>
    <x v="0"/>
    <s v="vidange"/>
    <s v="P"/>
    <x v="364"/>
    <n v="157732"/>
    <n v="120"/>
    <n v="120"/>
    <x v="252"/>
    <x v="0"/>
    <m/>
    <x v="0"/>
    <x v="0"/>
  </r>
  <r>
    <x v="263"/>
    <x v="7"/>
    <s v="Camion"/>
    <x v="5"/>
    <s v=" 11469-A-73"/>
    <n v="23994"/>
    <x v="0"/>
    <s v="vidange"/>
    <s v="P"/>
    <x v="365"/>
    <n v="157740"/>
    <n v="120"/>
    <n v="120"/>
    <x v="253"/>
    <x v="0"/>
    <m/>
    <x v="0"/>
    <x v="0"/>
  </r>
  <r>
    <x v="264"/>
    <x v="24"/>
    <s v="Voiture de fonction"/>
    <x v="0"/>
    <s v="10551-A-73"/>
    <n v="23995"/>
    <x v="0"/>
    <s v="filtre a air"/>
    <s v="P"/>
    <x v="366"/>
    <n v="157748"/>
    <n v="60"/>
    <n v="60"/>
    <x v="254"/>
    <x v="0"/>
    <m/>
    <x v="0"/>
    <x v="0"/>
  </r>
  <r>
    <x v="265"/>
    <x v="17"/>
    <s v="Bus de transport"/>
    <x v="11"/>
    <s v="18516-A-73"/>
    <n v="23997"/>
    <x v="65"/>
    <s v="klaxon ondommagée"/>
    <s v="c"/>
    <x v="367"/>
    <n v="167753"/>
    <n v="120"/>
    <n v="120"/>
    <x v="250"/>
    <x v="0"/>
    <m/>
    <x v="0"/>
    <x v="0"/>
  </r>
  <r>
    <x v="266"/>
    <x v="13"/>
    <s v="Camion"/>
    <x v="5"/>
    <s v="4703-A-73"/>
    <n v="23998"/>
    <x v="35"/>
    <s v="des lampes "/>
    <s v="c"/>
    <x v="258"/>
    <n v="157754"/>
    <n v="120"/>
    <n v="120"/>
    <x v="249"/>
    <x v="0"/>
    <m/>
    <x v="0"/>
    <x v="0"/>
  </r>
  <r>
    <x v="267"/>
    <x v="33"/>
    <s v="Chariot elevateur"/>
    <x v="18"/>
    <s v="-"/>
    <n v="23968"/>
    <x v="27"/>
    <s v="filtre a gasoil "/>
    <s v="c"/>
    <x v="368"/>
    <n v="154709"/>
    <n v="180"/>
    <n v="180"/>
    <x v="237"/>
    <x v="0"/>
    <m/>
    <x v="0"/>
    <x v="0"/>
  </r>
  <r>
    <x v="267"/>
    <x v="7"/>
    <s v="Camion"/>
    <x v="5"/>
    <s v=" 11469-A-73"/>
    <n v="23969"/>
    <x v="16"/>
    <s v="usure des pneus"/>
    <s v="c"/>
    <x v="369"/>
    <n v="157715"/>
    <n v="120"/>
    <n v="120"/>
    <x v="255"/>
    <x v="0"/>
    <m/>
    <x v="0"/>
    <x v="0"/>
  </r>
  <r>
    <x v="267"/>
    <x v="26"/>
    <s v="Chariot elevateur"/>
    <x v="15"/>
    <s v="-"/>
    <n v="23999"/>
    <x v="0"/>
    <s v="vidange"/>
    <s v="c"/>
    <x v="370"/>
    <n v="157758"/>
    <n v="120"/>
    <n v="120"/>
    <x v="237"/>
    <x v="0"/>
    <m/>
    <x v="0"/>
    <x v="0"/>
  </r>
  <r>
    <x v="267"/>
    <x v="18"/>
    <s v="Camion"/>
    <x v="5"/>
    <s v="4969-A-73 "/>
    <n v="24107"/>
    <x v="11"/>
    <s v="garniture de frein "/>
    <s v="c"/>
    <x v="371"/>
    <s v="158235_x000a_158229_x000a_159225_x000a_158210_x000a_158236_x000a_158236_x000a_158243"/>
    <n v="2700"/>
    <n v="9720"/>
    <x v="256"/>
    <x v="0"/>
    <m/>
    <x v="0"/>
    <x v="0"/>
  </r>
  <r>
    <x v="268"/>
    <x v="27"/>
    <s v="Voiture de fonction"/>
    <x v="0"/>
    <s v=" 9660 -A-73"/>
    <n v="24103"/>
    <x v="0"/>
    <s v="filtre a air"/>
    <s v="P"/>
    <x v="372"/>
    <n v="157768"/>
    <n v="30"/>
    <n v="30"/>
    <x v="257"/>
    <x v="0"/>
    <m/>
    <x v="0"/>
    <x v="0"/>
  </r>
  <r>
    <x v="269"/>
    <x v="16"/>
    <s v="Camion"/>
    <x v="5"/>
    <s v="11470-A-73"/>
    <n v="24000"/>
    <x v="0"/>
    <s v="vidange"/>
    <s v="c"/>
    <x v="373"/>
    <n v="157775"/>
    <n v="60"/>
    <n v="60"/>
    <x v="258"/>
    <x v="0"/>
    <m/>
    <x v="0"/>
    <x v="0"/>
  </r>
  <r>
    <x v="270"/>
    <x v="17"/>
    <s v="Bus de transport"/>
    <x v="11"/>
    <s v="18516-A-73"/>
    <n v="24101"/>
    <x v="35"/>
    <s v="des lampes "/>
    <s v="c"/>
    <x v="374"/>
    <n v="157779"/>
    <n v="60"/>
    <n v="60"/>
    <x v="259"/>
    <x v="0"/>
    <m/>
    <x v="0"/>
    <x v="0"/>
  </r>
  <r>
    <x v="271"/>
    <x v="8"/>
    <s v="Semi remorque"/>
    <x v="6"/>
    <s v="28659-D-1 "/>
    <n v="24102"/>
    <x v="0"/>
    <s v="vidange"/>
    <s v="P"/>
    <x v="375"/>
    <m/>
    <n v="60"/>
    <n v="60"/>
    <x v="248"/>
    <x v="0"/>
    <m/>
    <x v="0"/>
    <x v="0"/>
  </r>
  <r>
    <x v="272"/>
    <x v="10"/>
    <s v="Camion"/>
    <x v="8"/>
    <s v="25636-A-13"/>
    <n v="24122"/>
    <x v="66"/>
    <s v="des injecteurs"/>
    <s v="c"/>
    <x v="376"/>
    <m/>
    <n v="8550"/>
    <n v="8550"/>
    <x v="260"/>
    <x v="0"/>
    <m/>
    <x v="0"/>
    <x v="0"/>
  </r>
  <r>
    <x v="273"/>
    <x v="12"/>
    <s v="Semi remorque"/>
    <x v="3"/>
    <s v="17885-A-73 "/>
    <n v="24106"/>
    <x v="35"/>
    <s v="des lampes "/>
    <s v="C "/>
    <x v="123"/>
    <n v="158205"/>
    <n v="60"/>
    <n v="60"/>
    <x v="261"/>
    <x v="0"/>
    <m/>
    <x v="0"/>
    <x v="0"/>
  </r>
  <r>
    <x v="274"/>
    <x v="23"/>
    <s v="Semi remorque"/>
    <x v="6"/>
    <s v="706-A-73"/>
    <n v="24108"/>
    <x v="62"/>
    <s v="selection vitesse "/>
    <s v="c"/>
    <x v="377"/>
    <s v="158213_x000a_158206"/>
    <n v="1140"/>
    <n v="1710"/>
    <x v="262"/>
    <x v="0"/>
    <m/>
    <x v="0"/>
    <x v="0"/>
  </r>
  <r>
    <x v="274"/>
    <x v="15"/>
    <s v="Chariot elevateur"/>
    <x v="10"/>
    <s v="-"/>
    <n v="24109"/>
    <x v="0"/>
    <s v="mise a niveau"/>
    <s v="P"/>
    <x v="378"/>
    <n v="158207"/>
    <n v="60"/>
    <n v="60"/>
    <x v="263"/>
    <x v="0"/>
    <m/>
    <x v="0"/>
    <x v="0"/>
  </r>
  <r>
    <x v="275"/>
    <x v="19"/>
    <s v="Chargeur"/>
    <x v="12"/>
    <s v="-"/>
    <n v="24110"/>
    <x v="25"/>
    <s v="aille du roue "/>
    <s v="c"/>
    <x v="100"/>
    <s v="158214_x000a_158221"/>
    <n v="60"/>
    <n v="60"/>
    <x v="264"/>
    <x v="0"/>
    <m/>
    <x v="0"/>
    <x v="0"/>
  </r>
  <r>
    <x v="275"/>
    <x v="4"/>
    <s v="Camion"/>
    <x v="3"/>
    <s v="22299-A-73"/>
    <n v="24111"/>
    <x v="35"/>
    <s v="des lampes "/>
    <s v="c"/>
    <x v="135"/>
    <n v="158216"/>
    <n v="60"/>
    <n v="60"/>
    <x v="264"/>
    <x v="0"/>
    <m/>
    <x v="0"/>
    <x v="0"/>
  </r>
  <r>
    <x v="276"/>
    <x v="8"/>
    <s v="Semi remorque"/>
    <x v="6"/>
    <s v="28659-D-1 "/>
    <n v="24112"/>
    <x v="0"/>
    <s v="vidange"/>
    <s v="c"/>
    <x v="379"/>
    <n v="158222"/>
    <n v="120"/>
    <n v="120"/>
    <x v="262"/>
    <x v="0"/>
    <m/>
    <x v="0"/>
    <x v="0"/>
  </r>
  <r>
    <x v="277"/>
    <x v="17"/>
    <s v="Bus de transport"/>
    <x v="11"/>
    <s v="18516-A-73"/>
    <n v="24113"/>
    <x v="25"/>
    <s v="peinture "/>
    <s v="c"/>
    <x v="380"/>
    <s v="158230_x000a_158234_x000a_158222_x000a_158227_x000a_158246_x000a_158245"/>
    <n v="1710"/>
    <n v="1710"/>
    <x v="265"/>
    <x v="0"/>
    <m/>
    <x v="0"/>
    <x v="0"/>
  </r>
  <r>
    <x v="278"/>
    <x v="12"/>
    <s v="Semi remorque"/>
    <x v="3"/>
    <s v="17885-A-73 "/>
    <n v="24114"/>
    <x v="35"/>
    <s v="des lampes "/>
    <s v="c"/>
    <x v="123"/>
    <n v="158237"/>
    <n v="120"/>
    <n v="120"/>
    <x v="266"/>
    <x v="0"/>
    <m/>
    <x v="0"/>
    <x v="0"/>
  </r>
  <r>
    <x v="278"/>
    <x v="31"/>
    <s v="Voiture de fonction"/>
    <x v="0"/>
    <s v="50313-A-6"/>
    <n v="24116"/>
    <x v="0"/>
    <s v="vidange"/>
    <s v="P"/>
    <x v="381"/>
    <n v="158241"/>
    <n v="60"/>
    <n v="60"/>
    <x v="266"/>
    <x v="0"/>
    <m/>
    <x v="0"/>
    <x v="0"/>
  </r>
  <r>
    <x v="279"/>
    <x v="5"/>
    <s v="Semi remorque"/>
    <x v="3"/>
    <s v="70352-A-6"/>
    <n v="24115"/>
    <x v="23"/>
    <s v="flexible percé"/>
    <s v="c"/>
    <x v="152"/>
    <n v="158238"/>
    <n v="60"/>
    <n v="60"/>
    <x v="256"/>
    <x v="0"/>
    <m/>
    <x v="0"/>
    <x v="0"/>
  </r>
  <r>
    <x v="280"/>
    <x v="16"/>
    <s v="Camion"/>
    <x v="5"/>
    <s v="11470-A-73"/>
    <n v="24117"/>
    <x v="35"/>
    <s v="des lampes "/>
    <s v="c"/>
    <x v="56"/>
    <n v="158242"/>
    <n v="60"/>
    <n v="60"/>
    <x v="267"/>
    <x v="0"/>
    <m/>
    <x v="0"/>
    <x v="0"/>
  </r>
  <r>
    <x v="280"/>
    <x v="8"/>
    <s v="Semi remorque"/>
    <x v="6"/>
    <s v="28659-D-1 "/>
    <n v="24132"/>
    <x v="28"/>
    <s v="venteuse d'air de la cabine "/>
    <s v="c"/>
    <x v="382"/>
    <s v="158475_x000a_158469_x000a_158473_x000a_161374"/>
    <n v="1710"/>
    <n v="3990"/>
    <x v="260"/>
    <x v="0"/>
    <m/>
    <x v="0"/>
    <x v="0"/>
  </r>
  <r>
    <x v="281"/>
    <x v="2"/>
    <s v="Chariot elevateur"/>
    <x v="2"/>
    <s v="-"/>
    <n v="24118"/>
    <x v="24"/>
    <s v="afficheur de compteur "/>
    <s v="c"/>
    <x v="383"/>
    <m/>
    <m/>
    <s v=""/>
    <x v="57"/>
    <x v="0"/>
    <m/>
    <x v="0"/>
    <x v="0"/>
  </r>
  <r>
    <x v="282"/>
    <x v="0"/>
    <s v="Voiture de fonction"/>
    <x v="0"/>
    <s v="981-A-73"/>
    <n v="24125"/>
    <x v="0"/>
    <s v="vidange"/>
    <s v="P"/>
    <x v="384"/>
    <n v="158453"/>
    <n v="120"/>
    <n v="120"/>
    <x v="268"/>
    <x v="0"/>
    <m/>
    <x v="0"/>
    <x v="0"/>
  </r>
  <r>
    <x v="282"/>
    <x v="11"/>
    <s v="Semi remorque"/>
    <x v="3"/>
    <s v="17886-A-73 "/>
    <n v="24126"/>
    <x v="25"/>
    <s v="accident "/>
    <s v="c"/>
    <x v="385"/>
    <n v="158454"/>
    <n v="120"/>
    <n v="120"/>
    <x v="268"/>
    <x v="0"/>
    <m/>
    <x v="0"/>
    <x v="0"/>
  </r>
  <r>
    <x v="282"/>
    <x v="26"/>
    <s v="Chariot elevateur"/>
    <x v="15"/>
    <s v="-"/>
    <n v="24135"/>
    <x v="67"/>
    <s v="démarreur "/>
    <s v="c"/>
    <x v="386"/>
    <s v="158490_x000a_158484"/>
    <n v="1140"/>
    <n v="2850"/>
    <x v="269"/>
    <x v="0"/>
    <m/>
    <x v="0"/>
    <x v="0"/>
  </r>
  <r>
    <x v="283"/>
    <x v="7"/>
    <s v="Camion"/>
    <x v="5"/>
    <s v=" 11469-A-73"/>
    <n v="24127"/>
    <x v="35"/>
    <s v="des lampes "/>
    <s v="c"/>
    <x v="387"/>
    <n v="158456"/>
    <n v="120"/>
    <n v="120"/>
    <x v="265"/>
    <x v="0"/>
    <m/>
    <x v="0"/>
    <x v="0"/>
  </r>
  <r>
    <x v="284"/>
    <x v="17"/>
    <s v="Bus de transport"/>
    <x v="11"/>
    <s v="18516-A-73"/>
    <n v="24128"/>
    <x v="0"/>
    <s v="vidange"/>
    <s v="P"/>
    <x v="388"/>
    <n v="158461"/>
    <n v="60"/>
    <n v="60"/>
    <x v="270"/>
    <x v="0"/>
    <m/>
    <x v="0"/>
    <x v="0"/>
  </r>
  <r>
    <x v="284"/>
    <x v="9"/>
    <s v="Bus de transport"/>
    <x v="7"/>
    <s v="22772-A-73"/>
    <n v="24129"/>
    <x v="0"/>
    <s v="vidange"/>
    <s v="P"/>
    <x v="389"/>
    <s v="158462_x000a_158470"/>
    <n v="60"/>
    <n v="60"/>
    <x v="270"/>
    <x v="0"/>
    <m/>
    <x v="0"/>
    <x v="0"/>
  </r>
  <r>
    <x v="285"/>
    <x v="5"/>
    <s v="Semi remorque"/>
    <x v="3"/>
    <s v="70352-A-6"/>
    <n v="24130"/>
    <x v="27"/>
    <s v="battrie de démarrage "/>
    <s v="c"/>
    <x v="390"/>
    <n v="158464"/>
    <n v="120"/>
    <n v="120"/>
    <x v="271"/>
    <x v="0"/>
    <m/>
    <x v="0"/>
    <x v="0"/>
  </r>
  <r>
    <x v="286"/>
    <x v="2"/>
    <s v="Chariot elevateur"/>
    <x v="2"/>
    <s v="-"/>
    <n v="24131"/>
    <x v="0"/>
    <s v="vidange"/>
    <m/>
    <x v="391"/>
    <n v="158468"/>
    <n v="60"/>
    <n v="60"/>
    <x v="272"/>
    <x v="0"/>
    <m/>
    <x v="0"/>
    <x v="0"/>
  </r>
  <r>
    <x v="287"/>
    <x v="9"/>
    <s v="Bus de transport"/>
    <x v="7"/>
    <s v="22772-A-73"/>
    <n v="24133"/>
    <x v="25"/>
    <s v="plaque signalitique"/>
    <s v="c"/>
    <x v="392"/>
    <n v="158474"/>
    <n v="30"/>
    <n v="30"/>
    <x v="260"/>
    <x v="0"/>
    <m/>
    <x v="0"/>
    <x v="0"/>
  </r>
  <r>
    <x v="288"/>
    <x v="1"/>
    <s v="Camion"/>
    <x v="1"/>
    <s v="26128-A-8"/>
    <n v="24134"/>
    <x v="10"/>
    <s v="des vis de fixation"/>
    <s v="c"/>
    <x v="393"/>
    <n v="158476"/>
    <n v="570"/>
    <n v="570"/>
    <x v="269"/>
    <x v="0"/>
    <m/>
    <x v="0"/>
    <x v="0"/>
  </r>
  <r>
    <x v="289"/>
    <x v="19"/>
    <s v="Chargeur"/>
    <x v="12"/>
    <s v="-"/>
    <n v="24124"/>
    <x v="68"/>
    <s v="culasse endommagée"/>
    <s v="c"/>
    <x v="394"/>
    <s v="159639_x000a_159630_x000a_159618_x000a_159479_x000a_158480"/>
    <n v="5700"/>
    <n v="10260"/>
    <x v="273"/>
    <x v="0"/>
    <m/>
    <x v="0"/>
    <x v="0"/>
  </r>
  <r>
    <x v="290"/>
    <x v="29"/>
    <s v="Chariot elevateur"/>
    <x v="16"/>
    <s v="-"/>
    <n v="24136"/>
    <x v="0"/>
    <s v="vidange"/>
    <s v="P"/>
    <x v="395"/>
    <n v="158485"/>
    <n v="120"/>
    <n v="120"/>
    <x v="274"/>
    <x v="0"/>
    <m/>
    <x v="0"/>
    <x v="0"/>
  </r>
  <r>
    <x v="291"/>
    <x v="34"/>
    <s v="Chariot elevateur"/>
    <x v="19"/>
    <s v="-"/>
    <n v="24123"/>
    <x v="69"/>
    <s v="des siege souppape "/>
    <s v="c"/>
    <x v="396"/>
    <s v="159644_x000a_159635_x000a_159615_x000a_159609_x000a_159493_x000a_159457"/>
    <n v="3400"/>
    <n v="13600"/>
    <x v="275"/>
    <x v="0"/>
    <m/>
    <x v="0"/>
    <x v="0"/>
  </r>
  <r>
    <x v="292"/>
    <x v="10"/>
    <s v="Camion"/>
    <x v="8"/>
    <s v="25636-A-13"/>
    <n v="24144"/>
    <x v="70"/>
    <s v="thermocontact "/>
    <s v="c"/>
    <x v="397"/>
    <s v="159631_x000a_159636_x000a_159632"/>
    <n v="1140"/>
    <n v="1140"/>
    <x v="276"/>
    <x v="0"/>
    <m/>
    <x v="0"/>
    <x v="0"/>
  </r>
  <r>
    <x v="293"/>
    <x v="17"/>
    <s v="Bus de transport"/>
    <x v="11"/>
    <s v="18516-A-73"/>
    <n v="24137"/>
    <x v="21"/>
    <s v="freinage"/>
    <s v="c"/>
    <x v="398"/>
    <n v="159611"/>
    <n v="570"/>
    <n v="570"/>
    <x v="277"/>
    <x v="0"/>
    <m/>
    <x v="0"/>
    <x v="0"/>
  </r>
  <r>
    <x v="294"/>
    <x v="20"/>
    <s v="Camion"/>
    <x v="6"/>
    <s v="4790-B-8"/>
    <n v="24138"/>
    <x v="35"/>
    <s v="des lampes "/>
    <s v="c"/>
    <x v="399"/>
    <n v="159612"/>
    <n v="120"/>
    <n v="120"/>
    <x v="262"/>
    <x v="0"/>
    <m/>
    <x v="0"/>
    <x v="0"/>
  </r>
  <r>
    <x v="294"/>
    <x v="20"/>
    <s v="Camion"/>
    <x v="6"/>
    <s v="4790-B-8"/>
    <n v="24146"/>
    <x v="38"/>
    <s v="usure des pieces "/>
    <s v="c"/>
    <x v="400"/>
    <n v="159640"/>
    <n v="2280"/>
    <n v="5700"/>
    <x v="278"/>
    <x v="0"/>
    <m/>
    <x v="0"/>
    <x v="0"/>
  </r>
  <r>
    <x v="295"/>
    <x v="38"/>
    <s v="Voiture de fonction"/>
    <x v="25"/>
    <s v="4812-A-73"/>
    <n v="24139"/>
    <x v="70"/>
    <s v="radiateur "/>
    <s v="c"/>
    <x v="401"/>
    <n v="159617"/>
    <n v="360"/>
    <n v="360"/>
    <x v="279"/>
    <x v="0"/>
    <m/>
    <x v="0"/>
    <x v="0"/>
  </r>
  <r>
    <x v="296"/>
    <x v="8"/>
    <s v="Semi remorque"/>
    <x v="6"/>
    <s v="28659-D-1 "/>
    <n v="24140"/>
    <x v="35"/>
    <s v="des lampes "/>
    <s v="c"/>
    <x v="56"/>
    <n v="159620"/>
    <n v="120"/>
    <n v="120"/>
    <x v="276"/>
    <x v="0"/>
    <m/>
    <x v="0"/>
    <x v="0"/>
  </r>
  <r>
    <x v="297"/>
    <x v="22"/>
    <s v="Chariot elevateur"/>
    <x v="14"/>
    <s v="-"/>
    <n v="24141"/>
    <x v="0"/>
    <s v="vidange"/>
    <s v="P"/>
    <x v="402"/>
    <n v="159622"/>
    <n v="570"/>
    <n v="570"/>
    <x v="280"/>
    <x v="0"/>
    <m/>
    <x v="0"/>
    <x v="0"/>
  </r>
  <r>
    <x v="297"/>
    <x v="20"/>
    <s v="Camion"/>
    <x v="6"/>
    <s v="4790-B-8"/>
    <n v="24142"/>
    <x v="16"/>
    <s v="crevaison pneu "/>
    <s v="c"/>
    <x v="403"/>
    <n v="159625"/>
    <n v="60"/>
    <n v="60"/>
    <x v="281"/>
    <x v="0"/>
    <m/>
    <x v="0"/>
    <x v="0"/>
  </r>
  <r>
    <x v="298"/>
    <x v="7"/>
    <s v="Camion"/>
    <x v="5"/>
    <s v=" 11469-A-73"/>
    <n v="24143"/>
    <x v="0"/>
    <s v="vidange"/>
    <s v="P"/>
    <x v="404"/>
    <n v="159627"/>
    <n v="120"/>
    <n v="120"/>
    <x v="282"/>
    <x v="0"/>
    <m/>
    <x v="0"/>
    <x v="0"/>
  </r>
  <r>
    <x v="299"/>
    <x v="12"/>
    <s v="Semi remorque"/>
    <x v="3"/>
    <s v="17885-A-73 "/>
    <n v="24145"/>
    <x v="28"/>
    <s v="tuyau percé"/>
    <s v="c"/>
    <x v="108"/>
    <n v="159638"/>
    <n v="60"/>
    <n v="60"/>
    <x v="283"/>
    <x v="0"/>
    <m/>
    <x v="0"/>
    <x v="0"/>
  </r>
  <r>
    <x v="300"/>
    <x v="17"/>
    <s v="Bus de transport"/>
    <x v="11"/>
    <s v="18516-A-73"/>
    <n v="24147"/>
    <x v="71"/>
    <s v="probleme electrique "/>
    <s v="c"/>
    <x v="405"/>
    <n v="160454"/>
    <n v="360"/>
    <n v="360"/>
    <x v="278"/>
    <x v="0"/>
    <m/>
    <x v="0"/>
    <x v="0"/>
  </r>
  <r>
    <x v="300"/>
    <x v="15"/>
    <s v="Chariot elevateur"/>
    <x v="10"/>
    <s v="-"/>
    <n v="24148"/>
    <x v="4"/>
    <s v="mauvaise injection gazoil"/>
    <s v="c"/>
    <x v="406"/>
    <n v="160455"/>
    <n v="120"/>
    <n v="120"/>
    <x v="278"/>
    <x v="0"/>
    <m/>
    <x v="0"/>
    <x v="0"/>
  </r>
  <r>
    <x v="300"/>
    <x v="16"/>
    <s v="Camion"/>
    <x v="5"/>
    <s v="11470-A-73"/>
    <n v="24150"/>
    <x v="31"/>
    <s v="durite d'eau "/>
    <s v="c"/>
    <x v="407"/>
    <n v="160456"/>
    <n v="180"/>
    <n v="180"/>
    <x v="278"/>
    <x v="0"/>
    <m/>
    <x v="0"/>
    <x v="0"/>
  </r>
  <r>
    <x v="300"/>
    <x v="29"/>
    <s v="Chariot elevateur"/>
    <x v="16"/>
    <s v="-"/>
    <n v="24266"/>
    <x v="72"/>
    <s v="verin de levage "/>
    <s v="c"/>
    <x v="408"/>
    <s v="160495_x000a_160494"/>
    <n v="1710"/>
    <n v="5130"/>
    <x v="284"/>
    <x v="0"/>
    <m/>
    <x v="0"/>
    <x v="0"/>
  </r>
  <r>
    <x v="301"/>
    <x v="10"/>
    <s v="Camion"/>
    <x v="8"/>
    <s v="25636-A-13"/>
    <n v="24251"/>
    <x v="28"/>
    <s v="tuyau percé"/>
    <s v="c"/>
    <x v="152"/>
    <n v="160467"/>
    <n v="120"/>
    <n v="120"/>
    <x v="285"/>
    <x v="0"/>
    <m/>
    <x v="0"/>
    <x v="0"/>
  </r>
  <r>
    <x v="302"/>
    <x v="15"/>
    <s v="Chariot elevateur"/>
    <x v="10"/>
    <s v="-"/>
    <n v="24268"/>
    <x v="21"/>
    <s v="distributeur hydraulkique"/>
    <s v="c"/>
    <x v="409"/>
    <n v="160491"/>
    <m/>
    <m/>
    <x v="57"/>
    <x v="0"/>
    <m/>
    <x v="0"/>
    <x v="0"/>
  </r>
  <r>
    <x v="303"/>
    <x v="6"/>
    <s v="Pick up"/>
    <x v="4"/>
    <s v="22368-A-73"/>
    <n v="24252"/>
    <x v="0"/>
    <s v="vidange"/>
    <s v="c"/>
    <x v="410"/>
    <s v="160473_x000a_161372"/>
    <n v="570"/>
    <n v="570"/>
    <x v="286"/>
    <x v="0"/>
    <m/>
    <x v="0"/>
    <x v="0"/>
  </r>
  <r>
    <x v="303"/>
    <x v="8"/>
    <s v="Semi remorque"/>
    <x v="6"/>
    <s v="28659-D-1 "/>
    <n v="24253"/>
    <x v="16"/>
    <s v="usure "/>
    <s v="c"/>
    <x v="411"/>
    <n v="160475"/>
    <n v="180"/>
    <n v="180"/>
    <x v="286"/>
    <x v="0"/>
    <m/>
    <x v="0"/>
    <x v="0"/>
  </r>
  <r>
    <x v="303"/>
    <x v="7"/>
    <s v="Camion"/>
    <x v="5"/>
    <s v=" 11469-A-73"/>
    <n v="24254"/>
    <x v="0"/>
    <s v="vidange"/>
    <s v="c"/>
    <x v="412"/>
    <n v="160477"/>
    <n v="120"/>
    <n v="120"/>
    <x v="286"/>
    <x v="0"/>
    <m/>
    <x v="0"/>
    <x v="0"/>
  </r>
  <r>
    <x v="304"/>
    <x v="20"/>
    <s v="Camion"/>
    <x v="6"/>
    <s v="4790-B-8"/>
    <n v="24255"/>
    <x v="7"/>
    <s v="pompe d'embrayage "/>
    <s v="c"/>
    <x v="413"/>
    <n v="160478"/>
    <n v="570"/>
    <n v="570"/>
    <x v="287"/>
    <x v="0"/>
    <m/>
    <x v="0"/>
    <x v="0"/>
  </r>
  <r>
    <x v="304"/>
    <x v="20"/>
    <s v="Camion"/>
    <x v="6"/>
    <s v="4790-B-8"/>
    <n v="24556"/>
    <x v="73"/>
    <s v="mano contact "/>
    <s v="c"/>
    <x v="414"/>
    <m/>
    <n v="120"/>
    <n v="120"/>
    <x v="238"/>
    <x v="0"/>
    <m/>
    <x v="0"/>
    <x v="0"/>
  </r>
  <r>
    <x v="304"/>
    <x v="4"/>
    <s v="Camion"/>
    <x v="3"/>
    <s v="22299-A-73"/>
    <n v="24557"/>
    <x v="9"/>
    <s v="crevaison pneu "/>
    <s v="c"/>
    <x v="415"/>
    <m/>
    <n v="30"/>
    <n v="30"/>
    <x v="238"/>
    <x v="0"/>
    <m/>
    <x v="0"/>
    <x v="0"/>
  </r>
  <r>
    <x v="304"/>
    <x v="2"/>
    <s v="Chariot elevateur"/>
    <x v="2"/>
    <s v="-"/>
    <n v="24258"/>
    <x v="27"/>
    <s v="alternateur de charge battrie "/>
    <s v="c"/>
    <x v="416"/>
    <n v="160484"/>
    <n v="240"/>
    <n v="240"/>
    <x v="238"/>
    <x v="0"/>
    <m/>
    <x v="0"/>
    <x v="0"/>
  </r>
  <r>
    <x v="304"/>
    <x v="33"/>
    <s v="Chariot elevateur"/>
    <x v="18"/>
    <s v="-"/>
    <n v="24259"/>
    <x v="74"/>
    <s v="tableu de bord "/>
    <s v="c"/>
    <x v="417"/>
    <m/>
    <n v="360"/>
    <n v="360"/>
    <x v="238"/>
    <x v="0"/>
    <m/>
    <x v="0"/>
    <x v="0"/>
  </r>
  <r>
    <x v="305"/>
    <x v="12"/>
    <s v="Semi remorque"/>
    <x v="3"/>
    <s v="17885-A-73 "/>
    <n v="24260"/>
    <x v="35"/>
    <s v="des lampes "/>
    <s v="c"/>
    <x v="123"/>
    <n v="160489"/>
    <n v="120"/>
    <n v="120"/>
    <x v="275"/>
    <x v="0"/>
    <m/>
    <x v="0"/>
    <x v="0"/>
  </r>
  <r>
    <x v="305"/>
    <x v="11"/>
    <s v="Semi remorque"/>
    <x v="3"/>
    <s v="17886-A-73 "/>
    <n v="24261"/>
    <x v="35"/>
    <s v="des lampes "/>
    <s v="c"/>
    <x v="266"/>
    <m/>
    <n v="60"/>
    <n v="60"/>
    <x v="275"/>
    <x v="0"/>
    <m/>
    <x v="0"/>
    <x v="0"/>
  </r>
  <r>
    <x v="305"/>
    <x v="12"/>
    <s v="Semi remorque"/>
    <x v="3"/>
    <s v="17885-A-73 "/>
    <n v="24271"/>
    <x v="35"/>
    <s v="des lampes "/>
    <s v="c"/>
    <x v="48"/>
    <s v="160490_x000a_160051"/>
    <n v="60"/>
    <n v="60"/>
    <x v="275"/>
    <x v="0"/>
    <m/>
    <x v="0"/>
    <x v="0"/>
  </r>
  <r>
    <x v="306"/>
    <x v="7"/>
    <s v="Camion"/>
    <x v="5"/>
    <s v=" 11469-A-73"/>
    <n v="24262"/>
    <x v="28"/>
    <s v="tuyau percé"/>
    <s v="c"/>
    <x v="418"/>
    <n v="160053"/>
    <n v="120"/>
    <n v="120"/>
    <x v="275"/>
    <x v="0"/>
    <m/>
    <x v="0"/>
    <x v="0"/>
  </r>
  <r>
    <x v="306"/>
    <x v="2"/>
    <s v="Chariot elevateur"/>
    <x v="2"/>
    <s v="-"/>
    <n v="24269"/>
    <x v="35"/>
    <s v="des lampes "/>
    <s v="c"/>
    <x v="258"/>
    <n v="160494"/>
    <n v="60"/>
    <n v="60"/>
    <x v="288"/>
    <x v="0"/>
    <m/>
    <x v="0"/>
    <x v="0"/>
  </r>
  <r>
    <x v="306"/>
    <x v="5"/>
    <s v="Semi remorque"/>
    <x v="3"/>
    <s v="70352-A-6"/>
    <n v="24270"/>
    <x v="0"/>
    <s v="mise a niveau"/>
    <s v="c"/>
    <x v="352"/>
    <n v="160493"/>
    <n v="60"/>
    <n v="60"/>
    <x v="288"/>
    <x v="0"/>
    <m/>
    <x v="0"/>
    <x v="0"/>
  </r>
  <r>
    <x v="307"/>
    <x v="4"/>
    <s v="Camion"/>
    <x v="3"/>
    <s v="22299-A-73"/>
    <n v="24263"/>
    <x v="16"/>
    <s v="pneu percé"/>
    <s v="c"/>
    <x v="149"/>
    <n v="160"/>
    <n v="60"/>
    <n v="60"/>
    <x v="284"/>
    <x v="0"/>
    <m/>
    <x v="0"/>
    <x v="0"/>
  </r>
  <r>
    <x v="307"/>
    <x v="18"/>
    <s v="Camion"/>
    <x v="5"/>
    <s v="4969-A-73 "/>
    <n v="24264"/>
    <x v="35"/>
    <s v="des lampes "/>
    <s v="c"/>
    <x v="419"/>
    <n v="160"/>
    <n v="120"/>
    <n v="120"/>
    <x v="284"/>
    <x v="0"/>
    <m/>
    <x v="0"/>
    <x v="0"/>
  </r>
  <r>
    <x v="308"/>
    <x v="25"/>
    <s v="Camion"/>
    <x v="1"/>
    <s v=" 22128-W-6"/>
    <n v="24265"/>
    <x v="7"/>
    <s v="disque d'embrayage "/>
    <s v="c"/>
    <x v="420"/>
    <m/>
    <m/>
    <s v=""/>
    <x v="57"/>
    <x v="0"/>
    <m/>
    <x v="0"/>
    <x v="0"/>
  </r>
  <r>
    <x v="308"/>
    <x v="23"/>
    <e v="#REF!"/>
    <x v="26"/>
    <e v="#REF!"/>
    <n v="24275"/>
    <x v="4"/>
    <s v="gaz d'echappement "/>
    <s v="c"/>
    <x v="421"/>
    <n v="161"/>
    <n v="570"/>
    <n v="570"/>
    <x v="289"/>
    <x v="0"/>
    <m/>
    <x v="0"/>
    <x v="0"/>
  </r>
  <r>
    <x v="309"/>
    <x v="26"/>
    <e v="#REF!"/>
    <x v="26"/>
    <e v="#REF!"/>
    <n v="24273"/>
    <x v="0"/>
    <s v="vidange"/>
    <s v="P"/>
    <x v="422"/>
    <n v="161059"/>
    <n v="120"/>
    <n v="120"/>
    <x v="290"/>
    <x v="0"/>
    <m/>
    <x v="0"/>
    <x v="0"/>
  </r>
  <r>
    <x v="309"/>
    <x v="17"/>
    <e v="#REF!"/>
    <x v="26"/>
    <e v="#REF!"/>
    <n v="24281"/>
    <x v="11"/>
    <s v="huile de frein"/>
    <s v="c"/>
    <x v="245"/>
    <n v="161065"/>
    <n v="30"/>
    <n v="30"/>
    <x v="290"/>
    <x v="0"/>
    <m/>
    <x v="0"/>
    <x v="0"/>
  </r>
  <r>
    <x v="310"/>
    <x v="2"/>
    <s v="Chariot elevateur"/>
    <x v="2"/>
    <s v="-"/>
    <n v="24272"/>
    <x v="26"/>
    <s v="des galet de rampe"/>
    <s v="c"/>
    <x v="423"/>
    <n v="160"/>
    <n v="570"/>
    <n v="570"/>
    <x v="291"/>
    <x v="0"/>
    <m/>
    <x v="0"/>
    <x v="0"/>
  </r>
  <r>
    <x v="310"/>
    <x v="21"/>
    <e v="#REF!"/>
    <x v="26"/>
    <e v="#REF!"/>
    <n v="24289"/>
    <x v="9"/>
    <s v="usure"/>
    <s v="c"/>
    <x v="424"/>
    <n v="161071"/>
    <n v="1140"/>
    <n v="1140"/>
    <x v="291"/>
    <x v="0"/>
    <m/>
    <x v="0"/>
    <x v="0"/>
  </r>
  <r>
    <x v="311"/>
    <x v="19"/>
    <e v="#REF!"/>
    <x v="26"/>
    <e v="#REF!"/>
    <n v="24285"/>
    <x v="27"/>
    <s v="battrie de démarrage "/>
    <s v="c"/>
    <x v="425"/>
    <s v="161066_x000a_161069"/>
    <n v="60"/>
    <n v="60"/>
    <x v="292"/>
    <x v="0"/>
    <m/>
    <x v="0"/>
    <x v="0"/>
  </r>
  <r>
    <x v="312"/>
    <x v="30"/>
    <e v="#REF!"/>
    <x v="26"/>
    <e v="#REF!"/>
    <n v="24278"/>
    <x v="0"/>
    <s v="vidange"/>
    <s v="P"/>
    <x v="426"/>
    <n v="161075"/>
    <n v="60"/>
    <n v="60"/>
    <x v="293"/>
    <x v="0"/>
    <m/>
    <x v="0"/>
    <x v="0"/>
  </r>
  <r>
    <x v="312"/>
    <x v="8"/>
    <e v="#REF!"/>
    <x v="26"/>
    <e v="#REF!"/>
    <n v="24286"/>
    <x v="35"/>
    <s v="des lampes "/>
    <s v="c"/>
    <x v="427"/>
    <n v="161076"/>
    <n v="120"/>
    <n v="120"/>
    <x v="293"/>
    <x v="0"/>
    <m/>
    <x v="0"/>
    <x v="0"/>
  </r>
  <r>
    <x v="312"/>
    <x v="26"/>
    <s v="Chariot elevateur"/>
    <x v="15"/>
    <s v="-"/>
    <n v="24297"/>
    <x v="75"/>
    <s v="pompe damorssage"/>
    <s v="c"/>
    <x v="428"/>
    <n v="161358"/>
    <n v="1140"/>
    <n v="4560"/>
    <x v="294"/>
    <x v="0"/>
    <m/>
    <x v="0"/>
    <x v="0"/>
  </r>
  <r>
    <x v="313"/>
    <x v="30"/>
    <s v="dacia khalil"/>
    <x v="26"/>
    <e v="#REF!"/>
    <n v="24280"/>
    <x v="11"/>
    <s v="plaqette de frein"/>
    <s v="c"/>
    <x v="429"/>
    <n v="161082"/>
    <n v="570"/>
    <n v="570"/>
    <x v="295"/>
    <x v="0"/>
    <m/>
    <x v="0"/>
    <x v="0"/>
  </r>
  <r>
    <x v="313"/>
    <x v="26"/>
    <e v="#REF!"/>
    <x v="26"/>
    <e v="#REF!"/>
    <n v="24283"/>
    <x v="75"/>
    <s v="pompe d'alimentation"/>
    <s v="c"/>
    <x v="430"/>
    <m/>
    <m/>
    <e v="#REF!"/>
    <x v="57"/>
    <x v="0"/>
    <m/>
    <x v="0"/>
    <x v="0"/>
  </r>
  <r>
    <x v="313"/>
    <x v="24"/>
    <e v="#REF!"/>
    <x v="26"/>
    <e v="#REF!"/>
    <n v="24287"/>
    <x v="16"/>
    <s v="usure des pneus"/>
    <s v="c"/>
    <x v="431"/>
    <n v="161079"/>
    <n v="120"/>
    <n v="120"/>
    <x v="295"/>
    <x v="0"/>
    <m/>
    <x v="0"/>
    <x v="0"/>
  </r>
  <r>
    <x v="314"/>
    <x v="14"/>
    <e v="#REF!"/>
    <x v="26"/>
    <e v="#REF!"/>
    <n v="24274"/>
    <x v="76"/>
    <s v="usure du brosse "/>
    <s v="c"/>
    <x v="432"/>
    <s v="161094_x000a_161092"/>
    <n v="1140"/>
    <n v="1140"/>
    <x v="296"/>
    <x v="0"/>
    <m/>
    <x v="0"/>
    <x v="0"/>
  </r>
  <r>
    <x v="314"/>
    <x v="13"/>
    <e v="#REF!"/>
    <x v="26"/>
    <e v="#REF!"/>
    <n v="24276"/>
    <x v="31"/>
    <s v="durite d'eau "/>
    <s v="c"/>
    <x v="433"/>
    <s v="161078_x000a_161088"/>
    <n v="1140"/>
    <n v="3420"/>
    <x v="297"/>
    <x v="0"/>
    <m/>
    <x v="0"/>
    <x v="0"/>
  </r>
  <r>
    <x v="314"/>
    <x v="21"/>
    <e v="#REF!"/>
    <x v="26"/>
    <e v="#REF!"/>
    <n v="24279"/>
    <x v="27"/>
    <s v="des cosses battrie "/>
    <s v="c"/>
    <x v="167"/>
    <m/>
    <n v="120"/>
    <n v="120"/>
    <x v="297"/>
    <x v="0"/>
    <m/>
    <x v="0"/>
    <x v="0"/>
  </r>
  <r>
    <x v="315"/>
    <x v="23"/>
    <e v="#REF!"/>
    <x v="26"/>
    <e v="#REF!"/>
    <n v="24277"/>
    <x v="77"/>
    <s v="chaine de fixation"/>
    <s v="c"/>
    <x v="434"/>
    <m/>
    <n v="120"/>
    <n v="120"/>
    <x v="298"/>
    <x v="0"/>
    <m/>
    <x v="0"/>
    <x v="0"/>
  </r>
  <r>
    <x v="315"/>
    <x v="3"/>
    <e v="#REF!"/>
    <x v="26"/>
    <e v="#REF!"/>
    <n v="24288"/>
    <x v="25"/>
    <s v="essuie glace"/>
    <s v="c"/>
    <x v="435"/>
    <n v="161091"/>
    <n v="30"/>
    <n v="30"/>
    <x v="298"/>
    <x v="0"/>
    <m/>
    <x v="0"/>
    <x v="0"/>
  </r>
  <r>
    <x v="316"/>
    <x v="16"/>
    <s v="Camion"/>
    <x v="5"/>
    <s v="11470-A-73"/>
    <n v="24284"/>
    <x v="31"/>
    <s v="radiateur "/>
    <s v="c"/>
    <x v="436"/>
    <m/>
    <m/>
    <e v="#REF!"/>
    <x v="57"/>
    <x v="0"/>
    <m/>
    <x v="0"/>
    <x v="0"/>
  </r>
  <r>
    <x v="316"/>
    <x v="38"/>
    <s v="Voiture de fonction"/>
    <x v="25"/>
    <s v="4812-A-73"/>
    <n v="24294"/>
    <x v="0"/>
    <s v="vidange"/>
    <s v="c"/>
    <x v="437"/>
    <n v="161351"/>
    <n v="120"/>
    <n v="120"/>
    <x v="296"/>
    <x v="0"/>
    <m/>
    <x v="0"/>
    <x v="0"/>
  </r>
  <r>
    <x v="317"/>
    <x v="10"/>
    <s v="Camion"/>
    <x v="8"/>
    <s v="25636-A-13"/>
    <n v="24292"/>
    <x v="35"/>
    <s v="des lampes "/>
    <s v="c"/>
    <x v="438"/>
    <m/>
    <n v="120"/>
    <n v="120"/>
    <x v="299"/>
    <x v="0"/>
    <m/>
    <x v="0"/>
    <x v="0"/>
  </r>
  <r>
    <x v="318"/>
    <x v="23"/>
    <s v="Semi remorque"/>
    <x v="6"/>
    <s v="706-A-73"/>
    <n v="24291"/>
    <x v="27"/>
    <s v="des cosses battrie "/>
    <s v="c"/>
    <x v="439"/>
    <n v="161363"/>
    <n v="180"/>
    <n v="180"/>
    <x v="294"/>
    <x v="0"/>
    <m/>
    <x v="0"/>
    <x v="0"/>
  </r>
  <r>
    <x v="318"/>
    <x v="12"/>
    <s v="Semi remorque"/>
    <x v="3"/>
    <s v="17885-A-73 "/>
    <n v="24293"/>
    <x v="17"/>
    <s v="soudure "/>
    <s v="c"/>
    <x v="440"/>
    <m/>
    <n v="120"/>
    <n v="120"/>
    <x v="294"/>
    <x v="0"/>
    <m/>
    <x v="0"/>
    <x v="0"/>
  </r>
  <r>
    <x v="318"/>
    <x v="18"/>
    <s v="Camion"/>
    <x v="5"/>
    <s v="4969-A-73 "/>
    <n v="24295"/>
    <x v="28"/>
    <s v="klaxon ondommagée"/>
    <s v="c"/>
    <x v="441"/>
    <m/>
    <n v="60"/>
    <n v="60"/>
    <x v="294"/>
    <x v="0"/>
    <m/>
    <x v="0"/>
    <x v="0"/>
  </r>
  <r>
    <x v="318"/>
    <x v="22"/>
    <s v="Chariot elevateur"/>
    <x v="14"/>
    <s v="-"/>
    <n v="24296"/>
    <x v="21"/>
    <s v="flexible percé"/>
    <s v="c"/>
    <x v="442"/>
    <n v="161357"/>
    <n v="570"/>
    <n v="2280"/>
    <x v="300"/>
    <x v="0"/>
    <m/>
    <x v="0"/>
    <x v="0"/>
  </r>
  <r>
    <x v="318"/>
    <x v="12"/>
    <s v="Semi remorque"/>
    <x v="3"/>
    <s v="17885-A-73 "/>
    <s v="                                                                                                                                                                                                                                                                                                                                                                                                                                                                                                                                                                                                                                                                                                                                                                                                 "/>
    <x v="78"/>
    <s v="commande frein moteur "/>
    <s v="c"/>
    <x v="443"/>
    <m/>
    <m/>
    <s v=""/>
    <x v="57"/>
    <x v="0"/>
    <m/>
    <x v="0"/>
    <x v="0"/>
  </r>
  <r>
    <x v="319"/>
    <x v="10"/>
    <e v="#REF!"/>
    <x v="26"/>
    <e v="#REF!"/>
    <n v="24290"/>
    <x v="79"/>
    <s v="fuite d'air comprimé"/>
    <s v="c"/>
    <x v="444"/>
    <n v="161367"/>
    <n v="240"/>
    <n v="240"/>
    <x v="301"/>
    <x v="0"/>
    <m/>
    <x v="0"/>
    <x v="0"/>
  </r>
  <r>
    <x v="320"/>
    <x v="20"/>
    <s v="Camion"/>
    <x v="6"/>
    <s v="4790-B-8"/>
    <n v="24604"/>
    <x v="28"/>
    <s v="tuyau percé"/>
    <s v="c"/>
    <x v="43"/>
    <n v="161371"/>
    <n v="60"/>
    <n v="60"/>
    <x v="300"/>
    <x v="0"/>
    <m/>
    <x v="0"/>
    <x v="0"/>
  </r>
  <r>
    <x v="321"/>
    <x v="5"/>
    <s v="Semi remorque"/>
    <x v="3"/>
    <s v="70352-A-6"/>
    <n v="24603"/>
    <x v="31"/>
    <s v="durite d'eau "/>
    <s v="c"/>
    <x v="445"/>
    <s v="161381_x000a_161383"/>
    <n v="855"/>
    <n v="2000"/>
    <x v="302"/>
    <x v="0"/>
    <m/>
    <x v="0"/>
    <x v="0"/>
  </r>
  <r>
    <x v="322"/>
    <x v="22"/>
    <s v="Chariot elevateur"/>
    <x v="14"/>
    <s v="-"/>
    <n v="24601"/>
    <x v="31"/>
    <s v="radiateur "/>
    <s v="c"/>
    <x v="446"/>
    <s v="161384_x000a_161379_x000a_161380"/>
    <m/>
    <e v="#VALUE!"/>
    <x v="57"/>
    <x v="0"/>
    <m/>
    <x v="0"/>
    <x v="0"/>
  </r>
  <r>
    <x v="322"/>
    <x v="4"/>
    <s v="Camion"/>
    <x v="3"/>
    <s v="22299-A-73"/>
    <n v="24605"/>
    <x v="19"/>
    <s v="renouvlement "/>
    <s v="c"/>
    <x v="102"/>
    <n v="161375"/>
    <n v="120"/>
    <n v="120"/>
    <x v="303"/>
    <x v="0"/>
    <m/>
    <x v="0"/>
    <x v="0"/>
  </r>
  <r>
    <x v="322"/>
    <x v="18"/>
    <s v="Camion"/>
    <x v="5"/>
    <s v="4969-A-73 "/>
    <n v="24606"/>
    <x v="19"/>
    <s v="réparation"/>
    <s v="c"/>
    <x v="447"/>
    <n v="161376"/>
    <n v="120"/>
    <n v="120"/>
    <x v="303"/>
    <x v="0"/>
    <m/>
    <x v="0"/>
    <x v="0"/>
  </r>
  <r>
    <x v="323"/>
    <x v="26"/>
    <s v="Chariot elevateur"/>
    <x v="15"/>
    <s v="-"/>
    <n v="24615"/>
    <x v="25"/>
    <s v="peinture "/>
    <s v="c"/>
    <x v="448"/>
    <s v="162204_x000a_162212_x000a_162226_x000a_162217_x000a_162225_x000a_162220_x000a_162221"/>
    <n v="5700"/>
    <n v="7411"/>
    <x v="304"/>
    <x v="0"/>
    <m/>
    <x v="0"/>
    <x v="0"/>
  </r>
  <r>
    <x v="323"/>
    <x v="34"/>
    <s v="Chariot elevateur"/>
    <x v="19"/>
    <s v="-"/>
    <n v="24634"/>
    <x v="80"/>
    <s v="bruit anormale"/>
    <s v="c"/>
    <x v="449"/>
    <s v="161074_x000a_162232_x000a_162237_x000a_162604_x000a_162612_x000a_162614_x000a_162622_x000a_162634_x000a_162632"/>
    <n v="14800"/>
    <n v="14800"/>
    <x v="305"/>
    <x v="0"/>
    <m/>
    <x v="0"/>
    <x v="0"/>
  </r>
  <r>
    <x v="324"/>
    <x v="10"/>
    <s v="Camion"/>
    <x v="8"/>
    <s v="25636-A-13"/>
    <n v="24607"/>
    <x v="0"/>
    <s v="mise a niveau"/>
    <s v="P"/>
    <x v="450"/>
    <s v="161377_x000a_161382"/>
    <n v="120"/>
    <n v="120"/>
    <x v="306"/>
    <x v="0"/>
    <m/>
    <x v="0"/>
    <x v="0"/>
  </r>
  <r>
    <x v="325"/>
    <x v="24"/>
    <s v="Voiture de fonction"/>
    <x v="0"/>
    <s v="10551-A-73"/>
    <n v="24608"/>
    <x v="0"/>
    <s v="vidange"/>
    <s v="P"/>
    <x v="451"/>
    <n v="161388"/>
    <n v="120"/>
    <n v="120"/>
    <x v="307"/>
    <x v="0"/>
    <m/>
    <x v="0"/>
    <x v="0"/>
  </r>
  <r>
    <x v="326"/>
    <x v="4"/>
    <s v="Camion"/>
    <x v="3"/>
    <s v="22299-A-73"/>
    <n v="24621"/>
    <x v="0"/>
    <s v="mise a niveau"/>
    <s v="P"/>
    <x v="452"/>
    <n v="1621398"/>
    <n v="60"/>
    <n v="60"/>
    <x v="308"/>
    <x v="0"/>
    <m/>
    <x v="0"/>
    <x v="0"/>
  </r>
  <r>
    <x v="327"/>
    <x v="19"/>
    <s v="Chargeur"/>
    <x v="12"/>
    <s v="-"/>
    <n v="24609"/>
    <x v="25"/>
    <s v="fixation du vitre  de porte "/>
    <s v="c"/>
    <x v="453"/>
    <n v="162202"/>
    <n v="120"/>
    <n v="120"/>
    <x v="309"/>
    <x v="0"/>
    <m/>
    <x v="0"/>
    <x v="0"/>
  </r>
  <r>
    <x v="327"/>
    <x v="24"/>
    <s v="Voiture de fonction"/>
    <x v="0"/>
    <s v="10551-A-73"/>
    <n v="24610"/>
    <x v="7"/>
    <s v="plateau de serrage "/>
    <s v="c"/>
    <x v="454"/>
    <s v="162203_x000a_161055"/>
    <n v="570"/>
    <n v="570"/>
    <x v="309"/>
    <x v="0"/>
    <m/>
    <x v="0"/>
    <x v="0"/>
  </r>
  <r>
    <x v="327"/>
    <x v="3"/>
    <s v="Camion"/>
    <x v="3"/>
    <s v="22300-A-73"/>
    <n v="24611"/>
    <x v="35"/>
    <s v="des lampes "/>
    <s v="c"/>
    <x v="18"/>
    <n v="162205"/>
    <n v="120"/>
    <n v="120"/>
    <x v="309"/>
    <x v="0"/>
    <m/>
    <x v="0"/>
    <x v="0"/>
  </r>
  <r>
    <x v="328"/>
    <x v="15"/>
    <s v="Chariot elevateur"/>
    <x v="10"/>
    <s v="-"/>
    <n v="24613"/>
    <x v="0"/>
    <s v="vidange"/>
    <s v="c"/>
    <x v="455"/>
    <n v="162207"/>
    <n v="60"/>
    <n v="60"/>
    <x v="310"/>
    <x v="0"/>
    <m/>
    <x v="0"/>
    <x v="0"/>
  </r>
  <r>
    <x v="328"/>
    <x v="33"/>
    <s v="Chariot elevateur"/>
    <x v="18"/>
    <s v="-"/>
    <n v="24617"/>
    <x v="0"/>
    <s v="vidange"/>
    <s v="c"/>
    <x v="456"/>
    <n v="162209"/>
    <n v="60"/>
    <n v="60"/>
    <x v="310"/>
    <x v="0"/>
    <m/>
    <x v="0"/>
    <x v="0"/>
  </r>
  <r>
    <x v="328"/>
    <x v="12"/>
    <s v="Semi remorque"/>
    <x v="3"/>
    <s v="17885-A-73 "/>
    <n v="24612"/>
    <x v="35"/>
    <s v="des lampes "/>
    <s v="c"/>
    <x v="18"/>
    <n v="162206"/>
    <n v="120"/>
    <n v="120"/>
    <x v="309"/>
    <x v="0"/>
    <m/>
    <x v="0"/>
    <x v="0"/>
  </r>
  <r>
    <x v="328"/>
    <x v="8"/>
    <s v="Semi remorque"/>
    <x v="6"/>
    <s v="28659-D-1 "/>
    <n v="24614"/>
    <x v="35"/>
    <s v="des lampes "/>
    <s v="c"/>
    <x v="18"/>
    <m/>
    <n v="120"/>
    <n v="120"/>
    <x v="310"/>
    <x v="0"/>
    <m/>
    <x v="0"/>
    <x v="0"/>
  </r>
  <r>
    <x v="329"/>
    <x v="5"/>
    <s v="Semi remorque"/>
    <x v="3"/>
    <s v="70352-A-6"/>
    <n v="24618"/>
    <x v="23"/>
    <s v="tuyau percé"/>
    <s v="c"/>
    <x v="457"/>
    <n v="162211"/>
    <n v="60"/>
    <n v="60"/>
    <x v="311"/>
    <x v="0"/>
    <m/>
    <x v="0"/>
    <x v="0"/>
  </r>
  <r>
    <x v="329"/>
    <x v="6"/>
    <s v="Pick up"/>
    <x v="4"/>
    <s v="22368-A-73"/>
    <n v="24619"/>
    <x v="11"/>
    <s v="garniyure de frein"/>
    <s v="c"/>
    <x v="458"/>
    <s v="162234_x000a_162216"/>
    <n v="1140"/>
    <n v="2850"/>
    <x v="304"/>
    <x v="0"/>
    <m/>
    <x v="0"/>
    <x v="0"/>
  </r>
  <r>
    <x v="329"/>
    <x v="37"/>
    <s v=""/>
    <x v="24"/>
    <s v=" "/>
    <n v="24645"/>
    <x v="80"/>
    <s v="arrét d'huile "/>
    <s v="c"/>
    <x v="459"/>
    <n v="162322"/>
    <n v="4560"/>
    <n v="6840"/>
    <x v="312"/>
    <x v="0"/>
    <m/>
    <x v="0"/>
    <x v="0"/>
  </r>
  <r>
    <x v="330"/>
    <x v="2"/>
    <s v="Chariot elevateur"/>
    <x v="2"/>
    <s v="-"/>
    <n v="24622"/>
    <x v="0"/>
    <s v="filtre a air"/>
    <s v="P"/>
    <x v="460"/>
    <n v="162219"/>
    <n v="60"/>
    <n v="60"/>
    <x v="313"/>
    <x v="0"/>
    <m/>
    <x v="0"/>
    <x v="0"/>
  </r>
  <r>
    <x v="330"/>
    <x v="3"/>
    <s v="Camion"/>
    <x v="3"/>
    <s v="22300-A-73"/>
    <n v="24625"/>
    <x v="25"/>
    <s v="caise d'outillage "/>
    <s v="c"/>
    <x v="461"/>
    <n v="164248"/>
    <n v="360"/>
    <n v="360"/>
    <x v="313"/>
    <x v="0"/>
    <m/>
    <x v="0"/>
    <x v="0"/>
  </r>
  <r>
    <x v="331"/>
    <x v="16"/>
    <s v="Camion"/>
    <x v="5"/>
    <s v="11470-A-73"/>
    <n v="24620"/>
    <x v="21"/>
    <s v="flexible percé"/>
    <s v="c"/>
    <x v="462"/>
    <s v="162201_x000a_162233_x000a_162231"/>
    <n v="300"/>
    <n v="300"/>
    <x v="314"/>
    <x v="0"/>
    <m/>
    <x v="0"/>
    <x v="0"/>
  </r>
  <r>
    <x v="332"/>
    <x v="16"/>
    <s v="Camion"/>
    <x v="5"/>
    <s v="11470-A-73"/>
    <n v="24623"/>
    <x v="35"/>
    <s v="des lampes "/>
    <s v="c"/>
    <x v="56"/>
    <n v="1622239"/>
    <n v="180"/>
    <n v="180"/>
    <x v="315"/>
    <x v="0"/>
    <m/>
    <x v="0"/>
    <x v="0"/>
  </r>
  <r>
    <x v="333"/>
    <x v="10"/>
    <s v="Camion"/>
    <x v="8"/>
    <s v="25636-A-13"/>
    <n v="24629"/>
    <x v="0"/>
    <s v="vidange"/>
    <s v="c"/>
    <x v="463"/>
    <n v="162243"/>
    <n v="120"/>
    <n v="120"/>
    <x v="316"/>
    <x v="0"/>
    <m/>
    <x v="0"/>
    <x v="0"/>
  </r>
  <r>
    <x v="333"/>
    <x v="3"/>
    <s v="Camion"/>
    <x v="3"/>
    <s v="22300-A-73"/>
    <n v="24624"/>
    <x v="35"/>
    <s v="des lampes "/>
    <s v="c"/>
    <x v="56"/>
    <n v="162242"/>
    <n v="60"/>
    <n v="60"/>
    <x v="316"/>
    <x v="0"/>
    <m/>
    <x v="0"/>
    <x v="0"/>
  </r>
  <r>
    <x v="333"/>
    <x v="23"/>
    <s v="Semi remorque"/>
    <x v="6"/>
    <s v="706-A-73"/>
    <n v="24627"/>
    <x v="27"/>
    <s v="démarreur"/>
    <s v="c"/>
    <x v="464"/>
    <s v="162606_x000a_162629"/>
    <n v="1140"/>
    <n v="2800"/>
    <x v="317"/>
    <x v="0"/>
    <m/>
    <x v="0"/>
    <x v="0"/>
  </r>
  <r>
    <x v="334"/>
    <x v="17"/>
    <s v="Bus de transport"/>
    <x v="11"/>
    <s v="18516-A-73"/>
    <n v="24630"/>
    <x v="35"/>
    <s v="des lampes "/>
    <s v="c"/>
    <x v="465"/>
    <n v="162247"/>
    <n v="120"/>
    <n v="120"/>
    <x v="318"/>
    <x v="0"/>
    <m/>
    <x v="0"/>
    <x v="0"/>
  </r>
  <r>
    <x v="335"/>
    <x v="7"/>
    <s v="Camion"/>
    <x v="5"/>
    <s v=" 11469-A-73"/>
    <n v="24650"/>
    <x v="12"/>
    <s v="couple conique "/>
    <s v="c"/>
    <x v="466"/>
    <s v="162631_x000a_162633_x000a_162624_x000a_162624_x000a_163604_x000a_163633_x000a_163604_x000a_163612_x000a_163634_x000a_163626_x000a_163637_x000a_163629_x000a_163641_x000a_163640_x000a_163606"/>
    <n v="9600"/>
    <n v="14800"/>
    <x v="319"/>
    <x v="0"/>
    <m/>
    <x v="0"/>
    <x v="0"/>
  </r>
  <r>
    <x v="336"/>
    <x v="2"/>
    <s v="Chariot elevateur"/>
    <x v="2"/>
    <s v="-"/>
    <n v="23269"/>
    <x v="27"/>
    <s v="circuit de gasoil  "/>
    <s v="c"/>
    <x v="467"/>
    <n v="147744"/>
    <n v="570"/>
    <n v="570"/>
    <x v="111"/>
    <x v="0"/>
    <m/>
    <x v="0"/>
    <x v="0"/>
  </r>
  <r>
    <x v="337"/>
    <x v="4"/>
    <s v="Camion"/>
    <x v="3"/>
    <s v="22299-A-73"/>
    <n v="24624"/>
    <x v="0"/>
    <s v="fuite d'air comprimé"/>
    <s v="c"/>
    <x v="468"/>
    <m/>
    <n v="570"/>
    <n v="570"/>
    <x v="320"/>
    <x v="0"/>
    <m/>
    <x v="0"/>
    <x v="0"/>
  </r>
  <r>
    <x v="337"/>
    <x v="1"/>
    <s v="Camion"/>
    <x v="1"/>
    <s v="26128-A-8"/>
    <n v="24632"/>
    <x v="31"/>
    <s v="radiateur "/>
    <s v="c"/>
    <x v="469"/>
    <s v="162625_x000a_162630"/>
    <n v="1140"/>
    <n v="2280"/>
    <x v="321"/>
    <x v="0"/>
    <m/>
    <x v="0"/>
    <x v="0"/>
  </r>
  <r>
    <x v="337"/>
    <x v="23"/>
    <s v="Semi remorque"/>
    <x v="6"/>
    <s v="706-A-73"/>
    <n v="24633"/>
    <x v="32"/>
    <s v="tuyau du gasoil "/>
    <s v="c"/>
    <x v="470"/>
    <s v="163648_x000a_163647_x000a_163616_x000a_163611_x000a_163605_x000a_163601"/>
    <n v="5700"/>
    <n v="10260"/>
    <x v="319"/>
    <x v="0"/>
    <m/>
    <x v="0"/>
    <x v="0"/>
  </r>
  <r>
    <x v="338"/>
    <x v="3"/>
    <s v="Camion"/>
    <x v="3"/>
    <s v="22300-A-73"/>
    <n v="24628"/>
    <x v="0"/>
    <s v="fuite d'air comprimé"/>
    <s v="c"/>
    <x v="468"/>
    <m/>
    <n v="570"/>
    <n v="570"/>
    <x v="322"/>
    <x v="0"/>
    <m/>
    <x v="0"/>
    <x v="0"/>
  </r>
  <r>
    <x v="338"/>
    <x v="10"/>
    <s v="Camion"/>
    <x v="8"/>
    <s v="25636-A-13"/>
    <n v="24636"/>
    <x v="35"/>
    <s v="des lampes "/>
    <s v="c"/>
    <x v="56"/>
    <n v="1622620"/>
    <n v="120"/>
    <n v="120"/>
    <x v="323"/>
    <x v="0"/>
    <m/>
    <x v="0"/>
    <x v="0"/>
  </r>
  <r>
    <x v="338"/>
    <x v="19"/>
    <s v="Chargeur"/>
    <x v="12"/>
    <s v="-"/>
    <n v="24637"/>
    <x v="81"/>
    <s v="injection gasoil "/>
    <s v="c"/>
    <x v="471"/>
    <n v="162621"/>
    <n v="570"/>
    <n v="570"/>
    <x v="323"/>
    <x v="0"/>
    <m/>
    <x v="0"/>
    <x v="0"/>
  </r>
  <r>
    <x v="339"/>
    <x v="28"/>
    <s v="Chariot elevateur"/>
    <x v="13"/>
    <s v="-"/>
    <n v="24638"/>
    <x v="0"/>
    <s v="vidange"/>
    <s v="c"/>
    <x v="472"/>
    <n v="162627"/>
    <n v="30"/>
    <n v="30"/>
    <x v="322"/>
    <x v="0"/>
    <m/>
    <x v="0"/>
    <x v="0"/>
  </r>
  <r>
    <x v="340"/>
    <x v="17"/>
    <s v="Bus de transport"/>
    <x v="11"/>
    <s v="18516-A-73"/>
    <n v="24639"/>
    <x v="82"/>
    <s v="huile de frein a basse niveau"/>
    <s v="c"/>
    <x v="473"/>
    <s v="162626_x000a_161394"/>
    <n v="30"/>
    <n v="30"/>
    <x v="305"/>
    <x v="0"/>
    <m/>
    <x v="0"/>
    <x v="0"/>
  </r>
  <r>
    <x v="341"/>
    <x v="17"/>
    <s v="Bus de transport"/>
    <x v="11"/>
    <s v="18516-A-73"/>
    <n v="24641"/>
    <x v="11"/>
    <s v="garniyure de frein"/>
    <s v="c"/>
    <x v="474"/>
    <s v="163630_x000a_163638"/>
    <n v="3420"/>
    <n v="6270"/>
    <x v="324"/>
    <x v="0"/>
    <m/>
    <x v="0"/>
    <x v="0"/>
  </r>
  <r>
    <x v="342"/>
    <x v="18"/>
    <s v="Camion"/>
    <x v="5"/>
    <s v="4969-A-73 "/>
    <n v="25007"/>
    <x v="0"/>
    <s v="vidange"/>
    <s v="P"/>
    <x v="475"/>
    <n v="162646"/>
    <n v="120"/>
    <n v="120"/>
    <x v="325"/>
    <x v="0"/>
    <m/>
    <x v="0"/>
    <x v="0"/>
  </r>
  <r>
    <x v="342"/>
    <x v="17"/>
    <s v="Bus de transport"/>
    <x v="11"/>
    <s v="18516-A-73"/>
    <n v="25005"/>
    <x v="25"/>
    <s v="essuie glace"/>
    <s v="c"/>
    <x v="476"/>
    <n v="162638"/>
    <n v="240"/>
    <n v="240"/>
    <x v="326"/>
    <x v="0"/>
    <m/>
    <x v="0"/>
    <x v="0"/>
  </r>
  <r>
    <x v="343"/>
    <x v="19"/>
    <s v="Chargeur"/>
    <x v="12"/>
    <s v="-"/>
    <n v="25004"/>
    <x v="83"/>
    <s v="des injecteurs "/>
    <s v="c"/>
    <x v="477"/>
    <s v="164553_x000a_164559_x000a_164568_x000a_164568_x000a_164571_x000a_164574"/>
    <n v="3420"/>
    <n v="7410"/>
    <x v="327"/>
    <x v="0"/>
    <m/>
    <x v="0"/>
    <x v="0"/>
  </r>
  <r>
    <x v="343"/>
    <x v="22"/>
    <s v="Chariot elevateur"/>
    <x v="14"/>
    <s v="-"/>
    <n v="25006"/>
    <x v="16"/>
    <s v="crevaison pneu "/>
    <s v="c"/>
    <x v="478"/>
    <n v="162643"/>
    <n v="1140"/>
    <n v="1140"/>
    <x v="328"/>
    <x v="0"/>
    <m/>
    <x v="0"/>
    <x v="0"/>
  </r>
  <r>
    <x v="344"/>
    <x v="32"/>
    <s v="Chariot elevateur"/>
    <x v="2"/>
    <s v="-"/>
    <n v="24642"/>
    <x v="0"/>
    <s v="vidange"/>
    <s v="P"/>
    <x v="479"/>
    <n v="163602"/>
    <n v="60"/>
    <n v="60"/>
    <x v="328"/>
    <x v="0"/>
    <m/>
    <x v="0"/>
    <x v="0"/>
  </r>
  <r>
    <x v="344"/>
    <x v="19"/>
    <s v="Chargeur"/>
    <x v="12"/>
    <s v="-"/>
    <n v="25008"/>
    <x v="84"/>
    <s v="des vis de fixation "/>
    <s v="c"/>
    <x v="480"/>
    <n v="164647"/>
    <n v="240"/>
    <n v="240"/>
    <x v="328"/>
    <x v="0"/>
    <m/>
    <x v="0"/>
    <x v="0"/>
  </r>
  <r>
    <x v="345"/>
    <x v="10"/>
    <s v="Camion"/>
    <x v="8"/>
    <s v="25636-A-13"/>
    <n v="24649"/>
    <x v="85"/>
    <s v="des roulllement usee"/>
    <s v="c"/>
    <x v="481"/>
    <s v="163621_x000a_163619_x000a_164903_x000a_164625_x000a_164589_x000a_164582_x000a_164637_x000a_16457_x000a_164637_x000a_164570_x000a_164557"/>
    <n v="5700"/>
    <n v="12540"/>
    <x v="329"/>
    <x v="0"/>
    <m/>
    <x v="0"/>
    <x v="0"/>
  </r>
  <r>
    <x v="345"/>
    <x v="20"/>
    <s v="Camion"/>
    <x v="6"/>
    <s v="4790-B-8"/>
    <n v="24643"/>
    <x v="28"/>
    <s v="flexible percé"/>
    <s v="c"/>
    <x v="482"/>
    <n v="163606"/>
    <n v="240"/>
    <n v="240"/>
    <x v="330"/>
    <x v="0"/>
    <m/>
    <x v="0"/>
    <x v="0"/>
  </r>
  <r>
    <x v="346"/>
    <x v="16"/>
    <s v="Camion"/>
    <x v="5"/>
    <s v="11470-A-73"/>
    <n v="24646"/>
    <x v="0"/>
    <s v="vidange"/>
    <s v="P"/>
    <x v="483"/>
    <n v="163613"/>
    <n v="60"/>
    <n v="60"/>
    <x v="331"/>
    <x v="0"/>
    <m/>
    <x v="0"/>
    <x v="0"/>
  </r>
  <r>
    <x v="346"/>
    <x v="25"/>
    <s v="Camion"/>
    <x v="1"/>
    <s v=" 22128-W-6"/>
    <n v="24644"/>
    <x v="27"/>
    <s v="battrie de démarrage "/>
    <s v="c"/>
    <x v="484"/>
    <n v="163610"/>
    <n v="60"/>
    <n v="60"/>
    <x v="331"/>
    <x v="0"/>
    <m/>
    <x v="0"/>
    <x v="0"/>
  </r>
  <r>
    <x v="346"/>
    <x v="22"/>
    <s v="Chariot elevateur"/>
    <x v="14"/>
    <s v="-"/>
    <n v="24647"/>
    <x v="21"/>
    <s v="flexible percé"/>
    <s v="c"/>
    <x v="485"/>
    <n v="163615"/>
    <n v="60"/>
    <n v="60"/>
    <x v="331"/>
    <x v="0"/>
    <m/>
    <x v="0"/>
    <x v="0"/>
  </r>
  <r>
    <x v="346"/>
    <x v="11"/>
    <s v="Semi remorque"/>
    <x v="3"/>
    <s v="17886-A-73 "/>
    <n v="24648"/>
    <x v="35"/>
    <s v="des lampes "/>
    <s v="c"/>
    <x v="486"/>
    <n v="163617"/>
    <n v="60"/>
    <n v="60"/>
    <x v="331"/>
    <x v="0"/>
    <m/>
    <x v="0"/>
    <x v="0"/>
  </r>
  <r>
    <x v="347"/>
    <x v="9"/>
    <s v="Bus de transport"/>
    <x v="7"/>
    <s v="22772-A-73"/>
    <n v="25002"/>
    <x v="0"/>
    <s v="vidange"/>
    <s v="c"/>
    <x v="487"/>
    <n v="163623"/>
    <n v="60"/>
    <n v="60"/>
    <x v="332"/>
    <x v="0"/>
    <m/>
    <x v="0"/>
    <x v="0"/>
  </r>
  <r>
    <x v="347"/>
    <x v="8"/>
    <s v="Semi remorque"/>
    <x v="6"/>
    <s v="28659-D-1 "/>
    <n v="25001"/>
    <x v="35"/>
    <s v="des lampes "/>
    <s v="c"/>
    <x v="266"/>
    <n v="1636624"/>
    <n v="60"/>
    <n v="60"/>
    <x v="332"/>
    <x v="0"/>
    <m/>
    <x v="0"/>
    <x v="0"/>
  </r>
  <r>
    <x v="348"/>
    <x v="6"/>
    <s v="Pick up"/>
    <x v="4"/>
    <s v="22368-A-73"/>
    <n v="25003"/>
    <x v="35"/>
    <s v="des lampes "/>
    <s v="c"/>
    <x v="488"/>
    <n v="163636"/>
    <n v="60"/>
    <n v="119285"/>
    <x v="332"/>
    <x v="0"/>
    <m/>
    <x v="0"/>
    <x v="0"/>
  </r>
  <r>
    <x v="349"/>
    <x v="26"/>
    <s v="Chariot elevateur"/>
    <x v="15"/>
    <s v="-"/>
    <n v="25012"/>
    <x v="27"/>
    <s v="alternateur de charge battrie "/>
    <s v="c"/>
    <x v="489"/>
    <n v="164586"/>
    <n v="570"/>
    <n v="3990"/>
    <x v="333"/>
    <x v="0"/>
    <m/>
    <x v="0"/>
    <x v="0"/>
  </r>
  <r>
    <x v="350"/>
    <x v="11"/>
    <s v="Semi remorque"/>
    <x v="3"/>
    <s v="17886-A-73 "/>
    <n v="25009"/>
    <x v="35"/>
    <s v="des lampes "/>
    <s v="c"/>
    <x v="387"/>
    <n v="164564"/>
    <n v="120"/>
    <n v="120"/>
    <x v="319"/>
    <x v="0"/>
    <m/>
    <x v="0"/>
    <x v="0"/>
  </r>
  <r>
    <x v="351"/>
    <x v="8"/>
    <s v="Semi remorque"/>
    <x v="6"/>
    <s v="28659-D-1 "/>
    <n v="25010"/>
    <x v="0"/>
    <s v="vidange"/>
    <s v="P"/>
    <x v="490"/>
    <n v="164573"/>
    <n v="60"/>
    <n v="60"/>
    <x v="334"/>
    <x v="0"/>
    <m/>
    <x v="0"/>
    <x v="0"/>
  </r>
  <r>
    <x v="352"/>
    <x v="16"/>
    <s v="Camion"/>
    <x v="5"/>
    <s v="11470-A-73"/>
    <n v="25011"/>
    <x v="35"/>
    <s v="des lampes "/>
    <s v="c"/>
    <x v="387"/>
    <n v="164575"/>
    <n v="60"/>
    <n v="60"/>
    <x v="335"/>
    <x v="0"/>
    <m/>
    <x v="0"/>
    <x v="0"/>
  </r>
  <r>
    <x v="352"/>
    <x v="9"/>
    <s v="Bus de transport"/>
    <x v="7"/>
    <s v="22772-A-73"/>
    <n v="25019"/>
    <x v="25"/>
    <s v="peinture "/>
    <s v="c"/>
    <x v="491"/>
    <n v="164902"/>
    <n v="1710"/>
    <n v="1710"/>
    <x v="336"/>
    <x v="0"/>
    <m/>
    <x v="0"/>
    <x v="0"/>
  </r>
  <r>
    <x v="353"/>
    <x v="2"/>
    <s v="Chariot elevateur"/>
    <x v="2"/>
    <s v="-"/>
    <n v="25017"/>
    <x v="86"/>
    <s v="varieteur de commande "/>
    <s v="c"/>
    <x v="492"/>
    <n v="1646593"/>
    <n v="120"/>
    <n v="570"/>
    <x v="336"/>
    <x v="0"/>
    <m/>
    <x v="0"/>
    <x v="0"/>
  </r>
  <r>
    <x v="354"/>
    <x v="11"/>
    <s v="Semi remorque"/>
    <x v="3"/>
    <s v="17886-A-73 "/>
    <n v="25013"/>
    <x v="0"/>
    <s v="vidange"/>
    <s v="P"/>
    <x v="493"/>
    <n v="164588"/>
    <n v="180"/>
    <n v="180"/>
    <x v="336"/>
    <x v="0"/>
    <m/>
    <x v="0"/>
    <x v="0"/>
  </r>
  <r>
    <x v="354"/>
    <x v="0"/>
    <s v="Voiture de fonction"/>
    <x v="0"/>
    <s v="981-A-73"/>
    <n v="25014"/>
    <x v="27"/>
    <s v="battrie de démarrage "/>
    <s v="c"/>
    <x v="494"/>
    <n v="164500"/>
    <n v="60"/>
    <n v="60"/>
    <x v="336"/>
    <x v="0"/>
    <m/>
    <x v="0"/>
    <x v="0"/>
  </r>
  <r>
    <x v="354"/>
    <x v="12"/>
    <s v="Semi remorque"/>
    <x v="3"/>
    <s v="17885-A-73 "/>
    <n v="25015"/>
    <x v="67"/>
    <s v="battrie de démarrage "/>
    <s v="c"/>
    <x v="495"/>
    <n v="164591"/>
    <n v="120"/>
    <n v="120"/>
    <x v="336"/>
    <x v="0"/>
    <m/>
    <x v="0"/>
    <x v="0"/>
  </r>
  <r>
    <x v="354"/>
    <x v="39"/>
    <s v="Chargeur"/>
    <x v="12"/>
    <s v="-"/>
    <n v="25016"/>
    <x v="67"/>
    <s v="battrie de démarrage "/>
    <s v="c"/>
    <x v="496"/>
    <n v="164592"/>
    <n v="60"/>
    <n v="60"/>
    <x v="336"/>
    <x v="0"/>
    <m/>
    <x v="0"/>
    <x v="0"/>
  </r>
  <r>
    <x v="355"/>
    <x v="3"/>
    <s v="Camion"/>
    <x v="3"/>
    <s v="22300-A-73"/>
    <n v="25018"/>
    <x v="27"/>
    <s v="injection gasoil "/>
    <s v="c"/>
    <x v="497"/>
    <n v="164901"/>
    <n v="570"/>
    <n v="570"/>
    <x v="337"/>
    <x v="0"/>
    <m/>
    <x v="0"/>
    <x v="0"/>
  </r>
  <r>
    <x v="356"/>
    <x v="39"/>
    <s v="Chargeur"/>
    <x v="12"/>
    <s v="-"/>
    <n v="25020"/>
    <x v="87"/>
    <s v="pneu percé"/>
    <s v="c"/>
    <x v="498"/>
    <n v="164206"/>
    <n v="60"/>
    <n v="60"/>
    <x v="338"/>
    <x v="0"/>
    <m/>
    <x v="0"/>
    <x v="0"/>
  </r>
  <r>
    <x v="356"/>
    <x v="17"/>
    <s v="Bus de transport"/>
    <x v="11"/>
    <s v="18516-A-73"/>
    <n v="25021"/>
    <x v="35"/>
    <s v="des lampes "/>
    <s v="c"/>
    <x v="56"/>
    <n v="164909"/>
    <n v="60"/>
    <n v="60"/>
    <x v="338"/>
    <x v="0"/>
    <m/>
    <x v="0"/>
    <x v="0"/>
  </r>
  <r>
    <x v="357"/>
    <x v="11"/>
    <s v="Semi remorque"/>
    <x v="3"/>
    <s v="17886-A-73 "/>
    <n v="25022"/>
    <x v="35"/>
    <s v="des lampes "/>
    <s v="c"/>
    <x v="135"/>
    <n v="164917"/>
    <n v="120"/>
    <n v="120"/>
    <x v="329"/>
    <x v="0"/>
    <m/>
    <x v="0"/>
    <x v="0"/>
  </r>
  <r>
    <x v="357"/>
    <x v="7"/>
    <s v="Camion"/>
    <x v="5"/>
    <s v=" 11469-A-73"/>
    <n v="25032"/>
    <x v="88"/>
    <s v="radiateur "/>
    <s v="c"/>
    <x v="499"/>
    <n v="164943"/>
    <n v="1140"/>
    <n v="1140"/>
    <x v="339"/>
    <x v="0"/>
    <m/>
    <x v="0"/>
    <x v="0"/>
  </r>
  <r>
    <x v="358"/>
    <x v="13"/>
    <s v="Camion"/>
    <x v="5"/>
    <s v="4703-A-73"/>
    <n v="25023"/>
    <x v="16"/>
    <s v="usure "/>
    <s v="c"/>
    <x v="500"/>
    <n v="164918"/>
    <n v="120"/>
    <n v="120"/>
    <x v="329"/>
    <x v="0"/>
    <m/>
    <x v="0"/>
    <x v="0"/>
  </r>
  <r>
    <x v="358"/>
    <x v="12"/>
    <s v="Semi remorque"/>
    <x v="3"/>
    <s v="17885-A-73 "/>
    <n v="25025"/>
    <x v="35"/>
    <s v="des lampes "/>
    <s v="c"/>
    <x v="501"/>
    <n v="164921"/>
    <n v="60"/>
    <n v="60"/>
    <x v="340"/>
    <x v="0"/>
    <m/>
    <x v="0"/>
    <x v="0"/>
  </r>
  <r>
    <x v="358"/>
    <x v="14"/>
    <s v="Balayeuse"/>
    <x v="9"/>
    <s v="-"/>
    <n v="25026"/>
    <x v="0"/>
    <s v="vidange"/>
    <s v="P"/>
    <x v="502"/>
    <n v="164922"/>
    <n v="60"/>
    <n v="60"/>
    <x v="340"/>
    <x v="0"/>
    <m/>
    <x v="0"/>
    <x v="0"/>
  </r>
  <r>
    <x v="359"/>
    <x v="8"/>
    <s v="Semi remorque"/>
    <x v="6"/>
    <s v="28659-D-1 "/>
    <n v="25024"/>
    <x v="28"/>
    <s v="prise rapide "/>
    <s v="c"/>
    <x v="503"/>
    <n v="164919"/>
    <n v="240"/>
    <n v="240"/>
    <x v="326"/>
    <x v="0"/>
    <m/>
    <x v="0"/>
    <x v="0"/>
  </r>
  <r>
    <x v="359"/>
    <x v="8"/>
    <s v="Semi remorque"/>
    <x v="6"/>
    <s v="28659-D-1 "/>
    <n v="25027"/>
    <x v="35"/>
    <s v="des lampes "/>
    <s v="c"/>
    <x v="135"/>
    <n v="164923"/>
    <n v="60"/>
    <n v="60"/>
    <x v="326"/>
    <x v="0"/>
    <m/>
    <x v="0"/>
    <x v="0"/>
  </r>
  <r>
    <x v="360"/>
    <x v="4"/>
    <s v="Camion"/>
    <x v="3"/>
    <s v="22299-A-73"/>
    <n v="25028"/>
    <x v="89"/>
    <s v="usure "/>
    <s v="c"/>
    <x v="504"/>
    <n v="164927"/>
    <n v="30"/>
    <n v="30"/>
    <x v="341"/>
    <x v="0"/>
    <m/>
    <x v="0"/>
    <x v="0"/>
  </r>
  <r>
    <x v="360"/>
    <x v="5"/>
    <s v="Semi remorque"/>
    <x v="3"/>
    <s v="70352-A-6"/>
    <n v="25029"/>
    <x v="31"/>
    <s v="durite d'eau "/>
    <s v="c"/>
    <x v="505"/>
    <n v="164928"/>
    <n v="120"/>
    <n v="120"/>
    <x v="341"/>
    <x v="0"/>
    <m/>
    <x v="0"/>
    <x v="0"/>
  </r>
  <r>
    <x v="360"/>
    <x v="4"/>
    <s v="Camion"/>
    <x v="3"/>
    <s v="22299-A-73"/>
    <n v="25030"/>
    <x v="0"/>
    <s v="vidange"/>
    <s v="c"/>
    <x v="506"/>
    <n v="164929"/>
    <n v="180"/>
    <n v="180"/>
    <x v="341"/>
    <x v="0"/>
    <m/>
    <x v="0"/>
    <x v="0"/>
  </r>
  <r>
    <x v="360"/>
    <x v="12"/>
    <s v="Semi remorque"/>
    <x v="3"/>
    <s v="17885-A-73 "/>
    <n v="25031"/>
    <x v="0"/>
    <s v="vidange"/>
    <s v="c"/>
    <x v="507"/>
    <n v="164931"/>
    <n v="120"/>
    <n v="120"/>
    <x v="341"/>
    <x v="0"/>
    <m/>
    <x v="0"/>
    <x v="0"/>
  </r>
  <r>
    <x v="361"/>
    <x v="12"/>
    <s v="Semi remorque"/>
    <x v="3"/>
    <s v="17885-A-73 "/>
    <n v="25033"/>
    <x v="88"/>
    <s v="temperature d'huile moteur "/>
    <s v="c"/>
    <x v="508"/>
    <m/>
    <n v="1710"/>
    <n v="1710"/>
    <x v="342"/>
    <x v="0"/>
    <m/>
    <x v="0"/>
    <x v="0"/>
  </r>
  <r>
    <x v="361"/>
    <x v="12"/>
    <s v="Semi remorque"/>
    <x v="3"/>
    <s v="17885-A-73 "/>
    <n v="25615"/>
    <x v="80"/>
    <s v="temperature d'huile moteur "/>
    <s v="c"/>
    <x v="509"/>
    <s v="C"/>
    <n v="1140"/>
    <n v="1140"/>
    <x v="342"/>
    <x v="0"/>
    <m/>
    <x v="0"/>
    <x v="0"/>
  </r>
  <r>
    <x v="362"/>
    <x v="26"/>
    <s v="Chariot elevateur"/>
    <x v="15"/>
    <s v="-"/>
    <n v="25601"/>
    <x v="11"/>
    <s v="pompe de frein"/>
    <s v="c"/>
    <x v="510"/>
    <s v="166213_x000a_166220"/>
    <n v="360"/>
    <n v="360"/>
    <x v="343"/>
    <x v="0"/>
    <m/>
    <x v="0"/>
    <x v="0"/>
  </r>
  <r>
    <x v="362"/>
    <x v="10"/>
    <s v="Camion"/>
    <x v="8"/>
    <s v="25636-A-13"/>
    <n v="25614"/>
    <x v="47"/>
    <s v="pompe du grue "/>
    <s v="c"/>
    <x v="511"/>
    <s v="166246_x000a_166855"/>
    <n v="2280"/>
    <n v="5700"/>
    <x v="344"/>
    <x v="0"/>
    <m/>
    <x v="0"/>
    <x v="0"/>
  </r>
  <r>
    <x v="363"/>
    <x v="28"/>
    <s v="Chariot elevateur"/>
    <x v="13"/>
    <s v="-"/>
    <n v="25602"/>
    <x v="0"/>
    <s v="vidange"/>
    <s v="c"/>
    <x v="512"/>
    <n v="166221"/>
    <n v="60"/>
    <n v="60"/>
    <x v="345"/>
    <x v="0"/>
    <m/>
    <x v="0"/>
    <x v="0"/>
  </r>
  <r>
    <x v="364"/>
    <x v="15"/>
    <s v="Chariot elevateur"/>
    <x v="10"/>
    <s v="-"/>
    <n v="25603"/>
    <x v="57"/>
    <s v="des roullement "/>
    <s v="c"/>
    <x v="513"/>
    <n v="166222"/>
    <n v="1140"/>
    <n v="1140"/>
    <x v="346"/>
    <x v="0"/>
    <m/>
    <x v="0"/>
    <x v="0"/>
  </r>
  <r>
    <x v="364"/>
    <x v="26"/>
    <s v="Chariot elevateur"/>
    <x v="15"/>
    <s v="-"/>
    <n v="25604"/>
    <x v="90"/>
    <s v="des galets "/>
    <s v="c"/>
    <x v="514"/>
    <n v="166224"/>
    <n v="1140"/>
    <n v="1114"/>
    <x v="346"/>
    <x v="0"/>
    <m/>
    <x v="0"/>
    <x v="0"/>
  </r>
  <r>
    <x v="364"/>
    <x v="4"/>
    <s v="Camion"/>
    <x v="3"/>
    <s v="22299-A-73"/>
    <n v="25605"/>
    <x v="91"/>
    <s v="vidange"/>
    <s v="P"/>
    <x v="515"/>
    <n v="166226"/>
    <n v="120"/>
    <n v="120"/>
    <x v="347"/>
    <x v="0"/>
    <m/>
    <x v="0"/>
    <x v="0"/>
  </r>
  <r>
    <x v="365"/>
    <x v="11"/>
    <s v="Semi remorque"/>
    <x v="3"/>
    <s v="17886-A-73 "/>
    <n v="25606"/>
    <x v="0"/>
    <s v="vidange"/>
    <s v="c"/>
    <x v="516"/>
    <n v="166235"/>
    <n v="1710"/>
    <n v="1710"/>
    <x v="348"/>
    <x v="0"/>
    <m/>
    <x v="0"/>
    <x v="0"/>
  </r>
  <r>
    <x v="366"/>
    <x v="3"/>
    <s v="Camion"/>
    <x v="3"/>
    <s v="22300-A-73"/>
    <n v="25607"/>
    <x v="35"/>
    <s v="des lampes "/>
    <s v="c"/>
    <x v="56"/>
    <n v="166237"/>
    <n v="120"/>
    <n v="120"/>
    <x v="349"/>
    <x v="0"/>
    <m/>
    <x v="0"/>
    <x v="0"/>
  </r>
  <r>
    <x v="366"/>
    <x v="7"/>
    <s v="Camion"/>
    <x v="5"/>
    <s v=" 11469-A-73"/>
    <n v="25613"/>
    <x v="92"/>
    <s v="radiateur "/>
    <s v="c"/>
    <x v="517"/>
    <n v="166245"/>
    <n v="1710"/>
    <n v="1710"/>
    <x v="0"/>
    <x v="0"/>
    <m/>
    <x v="0"/>
    <x v="0"/>
  </r>
  <r>
    <x v="367"/>
    <x v="16"/>
    <s v="Camion"/>
    <x v="5"/>
    <s v="11470-A-73"/>
    <n v="26608"/>
    <x v="27"/>
    <s v="alternateur de charge battrie "/>
    <s v="c"/>
    <x v="518"/>
    <n v="166238"/>
    <m/>
    <n v="121849"/>
    <x v="0"/>
    <x v="0"/>
    <m/>
    <x v="0"/>
    <x v="0"/>
  </r>
  <r>
    <x v="368"/>
    <x v="27"/>
    <s v="Voiture de fonction"/>
    <x v="0"/>
    <s v=" 9660 -A-73"/>
    <n v="25610"/>
    <x v="0"/>
    <s v="mise a niveau"/>
    <s v="P"/>
    <x v="519"/>
    <n v="166242"/>
    <n v="30"/>
    <n v="30"/>
    <x v="0"/>
    <x v="0"/>
    <m/>
    <x v="0"/>
    <x v="0"/>
  </r>
  <r>
    <x v="368"/>
    <x v="25"/>
    <s v="Camion"/>
    <x v="1"/>
    <s v=" 22128-W-6"/>
    <n v="25611"/>
    <x v="27"/>
    <s v="contact"/>
    <s v="c"/>
    <x v="520"/>
    <n v="166243"/>
    <n v="120"/>
    <n v="120"/>
    <x v="0"/>
    <x v="0"/>
    <m/>
    <x v="0"/>
    <x v="0"/>
  </r>
  <r>
    <x v="368"/>
    <x v="37"/>
    <s v=""/>
    <x v="24"/>
    <s v=" "/>
    <n v="25612"/>
    <x v="93"/>
    <s v="usure "/>
    <s v="c"/>
    <x v="521"/>
    <n v="166244"/>
    <n v="1140"/>
    <n v="1140"/>
    <x v="350"/>
    <x v="0"/>
    <m/>
    <x v="0"/>
    <x v="0"/>
  </r>
  <r>
    <x v="368"/>
    <x v="24"/>
    <s v="Voiture de fonction"/>
    <x v="0"/>
    <s v="10551-A-73"/>
    <n v="25617"/>
    <x v="27"/>
    <s v="battrie de démarrage "/>
    <s v="c"/>
    <x v="522"/>
    <n v="166854"/>
    <n v="120"/>
    <n v="120"/>
    <x v="0"/>
    <x v="0"/>
    <m/>
    <x v="0"/>
    <x v="0"/>
  </r>
  <r>
    <x v="368"/>
    <x v="3"/>
    <s v="Camion"/>
    <x v="3"/>
    <s v="22300-A-73"/>
    <n v="25618"/>
    <x v="0"/>
    <s v="vidange"/>
    <s v="c"/>
    <x v="523"/>
    <n v="166854"/>
    <n v="120"/>
    <n v="120"/>
    <x v="0"/>
    <x v="0"/>
    <m/>
    <x v="0"/>
    <x v="0"/>
  </r>
  <r>
    <x v="369"/>
    <x v="40"/>
    <s v="dacia khalil"/>
    <x v="24"/>
    <s v=" "/>
    <n v="25619"/>
    <x v="10"/>
    <s v="des amortisseurs"/>
    <s v="c"/>
    <x v="524"/>
    <n v="166859"/>
    <n v="570"/>
    <n v="570"/>
    <x v="344"/>
    <x v="0"/>
    <m/>
    <x v="0"/>
    <x v="0"/>
  </r>
  <r>
    <x v="369"/>
    <x v="23"/>
    <s v="Semi remorque"/>
    <x v="6"/>
    <s v="706-A-73"/>
    <n v="25620"/>
    <x v="24"/>
    <s v="eclairage "/>
    <s v="c"/>
    <x v="387"/>
    <n v="166860"/>
    <n v="120"/>
    <n v="120"/>
    <x v="344"/>
    <x v="0"/>
    <m/>
    <x v="0"/>
    <x v="0"/>
  </r>
  <r>
    <x v="369"/>
    <x v="7"/>
    <s v="Camion"/>
    <x v="5"/>
    <s v=" 11469-A-73"/>
    <n v="25621"/>
    <x v="0"/>
    <s v="vidange"/>
    <s v="P"/>
    <x v="525"/>
    <n v="166863"/>
    <n v="120"/>
    <n v="120"/>
    <x v="344"/>
    <x v="0"/>
    <m/>
    <x v="0"/>
    <x v="0"/>
  </r>
  <r>
    <x v="369"/>
    <x v="28"/>
    <s v="Chariot elevateur"/>
    <x v="13"/>
    <s v="-"/>
    <n v="25622"/>
    <x v="0"/>
    <s v="mise a niveau"/>
    <s v="P"/>
    <x v="254"/>
    <n v="166865"/>
    <n v="30"/>
    <n v="30"/>
    <x v="344"/>
    <x v="0"/>
    <m/>
    <x v="0"/>
    <x v="0"/>
  </r>
  <r>
    <x v="369"/>
    <x v="22"/>
    <s v="Chariot elevateur"/>
    <x v="14"/>
    <s v="-"/>
    <n v="25641"/>
    <x v="59"/>
    <s v="pourriture "/>
    <s v="c"/>
    <x v="526"/>
    <s v="168280_x000a_168265_x000a_168259_x000a_168719_x000a_168707_x000a_168844_x000a_16809_x000a_168808"/>
    <n v="10260"/>
    <n v="14820"/>
    <x v="351"/>
    <x v="0"/>
    <m/>
    <x v="0"/>
    <x v="0"/>
  </r>
  <r>
    <x v="369"/>
    <x v="28"/>
    <s v="Chariot elevateur"/>
    <x v="13"/>
    <s v="-"/>
    <n v="25667"/>
    <x v="0"/>
    <s v="mise a niveau"/>
    <s v="P"/>
    <x v="130"/>
    <n v="169509"/>
    <n v="30"/>
    <n v="30"/>
    <x v="352"/>
    <x v="0"/>
    <m/>
    <x v="0"/>
    <x v="0"/>
  </r>
  <r>
    <x v="370"/>
    <x v="23"/>
    <s v="Semi remorque"/>
    <x v="6"/>
    <s v="706-A-73"/>
    <n v="25623"/>
    <x v="27"/>
    <s v="circuit de gasoil  "/>
    <s v="c"/>
    <x v="527"/>
    <n v="166866"/>
    <n v="180"/>
    <n v="180"/>
    <x v="353"/>
    <x v="0"/>
    <m/>
    <x v="0"/>
    <x v="0"/>
  </r>
  <r>
    <x v="371"/>
    <x v="11"/>
    <s v="Semi remorque"/>
    <x v="3"/>
    <s v="17886-A-73 "/>
    <n v="25624"/>
    <x v="35"/>
    <s v="des lampes "/>
    <s v="c"/>
    <x v="135"/>
    <n v="166869"/>
    <n v="120"/>
    <n v="120"/>
    <x v="354"/>
    <x v="0"/>
    <m/>
    <x v="0"/>
    <x v="0"/>
  </r>
  <r>
    <x v="371"/>
    <x v="26"/>
    <s v="Chariot elevateur"/>
    <x v="15"/>
    <s v="-"/>
    <n v="25625"/>
    <x v="94"/>
    <s v="flexible percé"/>
    <s v="c"/>
    <x v="528"/>
    <n v="166870"/>
    <n v="240"/>
    <n v="240"/>
    <x v="354"/>
    <x v="0"/>
    <m/>
    <x v="0"/>
    <x v="0"/>
  </r>
  <r>
    <x v="371"/>
    <x v="3"/>
    <s v="Camion"/>
    <x v="3"/>
    <s v="22300-A-73"/>
    <n v="25626"/>
    <x v="27"/>
    <s v="battrie de démarrage "/>
    <s v="c"/>
    <x v="529"/>
    <n v="166871"/>
    <n v="120"/>
    <n v="120"/>
    <x v="354"/>
    <x v="0"/>
    <m/>
    <x v="0"/>
    <x v="0"/>
  </r>
  <r>
    <x v="372"/>
    <x v="11"/>
    <s v="Semi remorque"/>
    <x v="3"/>
    <s v="17886-A-73 "/>
    <n v="25630"/>
    <x v="35"/>
    <s v="des lampes "/>
    <s v="c"/>
    <x v="530"/>
    <n v="166874"/>
    <n v="120"/>
    <n v="120"/>
    <x v="355"/>
    <x v="0"/>
    <m/>
    <x v="0"/>
    <x v="0"/>
  </r>
  <r>
    <x v="373"/>
    <x v="18"/>
    <s v="Camion"/>
    <x v="5"/>
    <s v="4969-A-73 "/>
    <n v="25631"/>
    <x v="21"/>
    <s v="durite d'eau "/>
    <s v="c"/>
    <x v="531"/>
    <n v="166875"/>
    <n v="180"/>
    <n v="180"/>
    <x v="356"/>
    <x v="0"/>
    <m/>
    <x v="0"/>
    <x v="0"/>
  </r>
  <r>
    <x v="374"/>
    <x v="8"/>
    <s v="Semi remorque"/>
    <x v="6"/>
    <s v="28659-D-1 "/>
    <n v="25629"/>
    <x v="11"/>
    <s v="garniyure de frein"/>
    <s v="c"/>
    <x v="532"/>
    <s v="167819_x000a_167817_x000a_168807_x000a_169824"/>
    <n v="3420"/>
    <n v="6840"/>
    <x v="357"/>
    <x v="0"/>
    <m/>
    <x v="0"/>
    <x v="0"/>
  </r>
  <r>
    <x v="375"/>
    <x v="41"/>
    <s v="Semi remorque"/>
    <x v="6"/>
    <s v="28661-D-1"/>
    <n v="25632"/>
    <x v="0"/>
    <s v="vidange"/>
    <s v="c"/>
    <x v="533"/>
    <n v="166881"/>
    <n v="120"/>
    <n v="120"/>
    <x v="358"/>
    <x v="0"/>
    <m/>
    <x v="0"/>
    <x v="0"/>
  </r>
  <r>
    <x v="375"/>
    <x v="0"/>
    <s v="Voiture de fonction"/>
    <x v="0"/>
    <s v="981-A-73"/>
    <n v="25636"/>
    <x v="95"/>
    <s v="des injecteurs"/>
    <s v="c"/>
    <x v="534"/>
    <n v="167812"/>
    <n v="2850"/>
    <n v="4560"/>
    <x v="359"/>
    <x v="0"/>
    <m/>
    <x v="0"/>
    <x v="0"/>
  </r>
  <r>
    <x v="376"/>
    <x v="2"/>
    <s v="Chariot elevateur"/>
    <x v="2"/>
    <s v="-"/>
    <n v="256331"/>
    <x v="0"/>
    <s v="mise a niveau"/>
    <s v="P"/>
    <x v="130"/>
    <n v="166882"/>
    <n v="30"/>
    <n v="60"/>
    <x v="360"/>
    <x v="0"/>
    <m/>
    <x v="0"/>
    <x v="0"/>
  </r>
  <r>
    <x v="377"/>
    <x v="1"/>
    <s v="Camion"/>
    <x v="1"/>
    <s v="26128-A-8"/>
    <n v="25628"/>
    <x v="11"/>
    <s v="garniture de frein"/>
    <s v="c"/>
    <x v="535"/>
    <s v="167846_x000a_167840_x000a_167828_x000a_167816_x000a_167811_x000a_167896_x000a_168884"/>
    <n v="5700"/>
    <n v="17100"/>
    <x v="361"/>
    <x v="0"/>
    <m/>
    <x v="0"/>
    <x v="0"/>
  </r>
  <r>
    <x v="378"/>
    <x v="41"/>
    <s v="Semi remorque"/>
    <x v="6"/>
    <s v="28661-D-1"/>
    <n v="25634"/>
    <x v="0"/>
    <s v="mise a niveau"/>
    <s v="c"/>
    <x v="536"/>
    <n v="166890"/>
    <n v="30"/>
    <n v="30"/>
    <x v="362"/>
    <x v="0"/>
    <m/>
    <x v="0"/>
    <x v="0"/>
  </r>
  <r>
    <x v="379"/>
    <x v="2"/>
    <s v="Chariot elevateur"/>
    <x v="2"/>
    <s v="-"/>
    <n v="25635"/>
    <x v="21"/>
    <s v="durite d'huile"/>
    <s v="c"/>
    <x v="537"/>
    <n v="166895"/>
    <n v="180"/>
    <n v="180"/>
    <x v="363"/>
    <x v="0"/>
    <m/>
    <x v="0"/>
    <x v="0"/>
  </r>
  <r>
    <x v="380"/>
    <x v="10"/>
    <s v="Camion"/>
    <x v="8"/>
    <s v="25636-A-13"/>
    <n v="25643"/>
    <x v="27"/>
    <s v="battrie de démarrage "/>
    <s v="c"/>
    <x v="538"/>
    <s v="167805_x000a_167845"/>
    <n v="120"/>
    <n v="120"/>
    <x v="364"/>
    <x v="0"/>
    <m/>
    <x v="0"/>
    <x v="0"/>
  </r>
  <r>
    <x v="381"/>
    <x v="9"/>
    <s v="Bus de transport"/>
    <x v="7"/>
    <s v="22772-A-73"/>
    <n v="25638"/>
    <x v="35"/>
    <s v="des lampes "/>
    <s v="c"/>
    <x v="539"/>
    <n v="167814"/>
    <n v="30"/>
    <n v="30"/>
    <x v="365"/>
    <x v="0"/>
    <m/>
    <x v="0"/>
    <x v="0"/>
  </r>
  <r>
    <x v="381"/>
    <x v="12"/>
    <s v="Semi remorque"/>
    <x v="3"/>
    <s v="17885-A-73 "/>
    <n v="25639"/>
    <x v="16"/>
    <s v="usure "/>
    <s v="c"/>
    <x v="540"/>
    <s v="167835_x000a_167815"/>
    <n v="120"/>
    <n v="120"/>
    <x v="365"/>
    <x v="0"/>
    <m/>
    <x v="0"/>
    <x v="0"/>
  </r>
  <r>
    <x v="382"/>
    <x v="9"/>
    <s v="Bus de transport"/>
    <x v="7"/>
    <s v="22772-A-73"/>
    <n v="25642"/>
    <x v="0"/>
    <s v="vidange"/>
    <s v="P"/>
    <x v="541"/>
    <n v="167820"/>
    <n v="120"/>
    <n v="120"/>
    <x v="366"/>
    <x v="0"/>
    <m/>
    <x v="0"/>
    <x v="0"/>
  </r>
  <r>
    <x v="383"/>
    <x v="7"/>
    <s v="Camion"/>
    <x v="5"/>
    <s v=" 11469-A-73"/>
    <n v="25627"/>
    <x v="96"/>
    <s v="couple conique endommage "/>
    <s v="c"/>
    <x v="542"/>
    <s v="167824_x000a_167820_x000a_167830_x000a_167841"/>
    <n v="1710"/>
    <n v="4580"/>
    <x v="367"/>
    <x v="0"/>
    <m/>
    <x v="0"/>
    <x v="0"/>
  </r>
  <r>
    <x v="384"/>
    <x v="4"/>
    <s v="Camion"/>
    <x v="3"/>
    <s v="22299-A-73"/>
    <n v="25645"/>
    <x v="97"/>
    <s v="accident "/>
    <s v="c"/>
    <x v="543"/>
    <s v="168708_x000a_167264_x000a_168257_x000a_167842"/>
    <n v="1140"/>
    <n v="1140"/>
    <x v="368"/>
    <x v="0"/>
    <m/>
    <x v="0"/>
    <x v="0"/>
  </r>
  <r>
    <x v="385"/>
    <x v="16"/>
    <s v="Camion"/>
    <x v="5"/>
    <s v="11470-A-73"/>
    <n v="25637"/>
    <x v="24"/>
    <s v="eclairage "/>
    <s v="c"/>
    <x v="544"/>
    <s v="167813_x000a_167834"/>
    <n v="120"/>
    <n v="120"/>
    <x v="57"/>
    <x v="3"/>
    <m/>
    <x v="0"/>
    <x v="0"/>
  </r>
  <r>
    <x v="386"/>
    <x v="12"/>
    <s v="Semi remorque"/>
    <x v="3"/>
    <s v="17885-A-73 "/>
    <n v="25646"/>
    <x v="0"/>
    <s v="vidange"/>
    <s v="c"/>
    <x v="545"/>
    <n v="167258"/>
    <n v="120"/>
    <n v="120"/>
    <x v="57"/>
    <x v="0"/>
    <m/>
    <x v="0"/>
    <x v="0"/>
  </r>
  <r>
    <x v="387"/>
    <x v="11"/>
    <s v="Semi remorque"/>
    <x v="3"/>
    <s v="17886-A-73 "/>
    <n v="25647"/>
    <x v="98"/>
    <s v="des roullement "/>
    <s v="c"/>
    <x v="546"/>
    <n v="168274"/>
    <n v="1140"/>
    <n v="1140"/>
    <x v="57"/>
    <x v="0"/>
    <m/>
    <x v="0"/>
    <x v="0"/>
  </r>
  <r>
    <x v="388"/>
    <x v="16"/>
    <s v="Camion"/>
    <x v="5"/>
    <s v="11470-A-73"/>
    <n v="25648"/>
    <x v="16"/>
    <s v="usure "/>
    <s v="c"/>
    <x v="547"/>
    <n v="168287"/>
    <n v="120"/>
    <n v="120"/>
    <x v="369"/>
    <x v="0"/>
    <m/>
    <x v="0"/>
    <x v="0"/>
  </r>
  <r>
    <x v="388"/>
    <x v="10"/>
    <s v="Camion"/>
    <x v="8"/>
    <s v="25636-A-13"/>
    <n v="25651"/>
    <x v="99"/>
    <s v="durite d'eau "/>
    <s v="c"/>
    <x v="548"/>
    <n v="168702"/>
    <n v="1710"/>
    <n v="1710"/>
    <x v="370"/>
    <x v="0"/>
    <m/>
    <x v="0"/>
    <x v="0"/>
  </r>
  <r>
    <x v="389"/>
    <x v="24"/>
    <s v="Voiture de fonction"/>
    <x v="0"/>
    <s v="10551-A-73"/>
    <n v="25649"/>
    <x v="0"/>
    <s v="vidange"/>
    <s v="c"/>
    <x v="549"/>
    <n v="168289"/>
    <n v="120"/>
    <n v="120"/>
    <x v="371"/>
    <x v="0"/>
    <m/>
    <x v="0"/>
    <x v="0"/>
  </r>
  <r>
    <x v="389"/>
    <x v="17"/>
    <s v="Bus de transport"/>
    <x v="11"/>
    <s v="18516-A-73"/>
    <n v="25652"/>
    <x v="0"/>
    <s v="vidange"/>
    <s v="P"/>
    <x v="550"/>
    <n v="168703"/>
    <n v="60"/>
    <n v="60"/>
    <x v="371"/>
    <x v="0"/>
    <m/>
    <x v="0"/>
    <x v="0"/>
  </r>
  <r>
    <x v="390"/>
    <x v="20"/>
    <s v="Camion"/>
    <x v="6"/>
    <s v="4790-B-8"/>
    <n v="25653"/>
    <x v="31"/>
    <s v="pipe d'eau "/>
    <s v="c"/>
    <x v="551"/>
    <n v="168704"/>
    <n v="120"/>
    <n v="120"/>
    <x v="370"/>
    <x v="0"/>
    <m/>
    <x v="0"/>
    <x v="0"/>
  </r>
  <r>
    <x v="391"/>
    <x v="3"/>
    <s v="Camion"/>
    <x v="3"/>
    <s v="22300-A-73"/>
    <n v="25654"/>
    <x v="0"/>
    <s v="vidange"/>
    <s v="P"/>
    <x v="552"/>
    <n v="168705"/>
    <n v="120"/>
    <n v="120"/>
    <x v="372"/>
    <x v="0"/>
    <m/>
    <x v="0"/>
    <x v="0"/>
  </r>
  <r>
    <x v="391"/>
    <x v="5"/>
    <s v="Semi remorque"/>
    <x v="3"/>
    <s v="70352-A-6"/>
    <n v="25663"/>
    <x v="31"/>
    <s v="pipe d'eau "/>
    <s v="c"/>
    <x v="553"/>
    <s v="168726_x000a_168730"/>
    <n v="1710"/>
    <n v="4560"/>
    <x v="351"/>
    <x v="0"/>
    <m/>
    <x v="0"/>
    <x v="0"/>
  </r>
  <r>
    <x v="392"/>
    <x v="38"/>
    <s v="Voiture de fonction"/>
    <x v="25"/>
    <s v="4812-A-73"/>
    <n v="25655"/>
    <x v="100"/>
    <s v="filtre a  air "/>
    <s v="c"/>
    <x v="554"/>
    <n v="168711"/>
    <n v="120"/>
    <n v="120"/>
    <x v="373"/>
    <x v="0"/>
    <m/>
    <x v="0"/>
    <x v="0"/>
  </r>
  <r>
    <x v="393"/>
    <x v="15"/>
    <s v="Chariot elevateur"/>
    <x v="10"/>
    <s v="-"/>
    <n v="25656"/>
    <x v="0"/>
    <s v="vidange"/>
    <s v="P"/>
    <x v="555"/>
    <n v="168714"/>
    <n v="570"/>
    <n v="570"/>
    <x v="374"/>
    <x v="0"/>
    <m/>
    <x v="0"/>
    <x v="0"/>
  </r>
  <r>
    <x v="393"/>
    <x v="8"/>
    <s v="Semi remorque"/>
    <x v="6"/>
    <s v="28659-D-1 "/>
    <n v="25657"/>
    <x v="35"/>
    <s v="des lampes "/>
    <s v="c"/>
    <x v="556"/>
    <n v="168720"/>
    <n v="120"/>
    <n v="120"/>
    <x v="374"/>
    <x v="0"/>
    <m/>
    <x v="0"/>
    <x v="0"/>
  </r>
  <r>
    <x v="394"/>
    <x v="13"/>
    <s v="Camion"/>
    <x v="5"/>
    <s v="4703-A-73"/>
    <n v="25658"/>
    <x v="11"/>
    <s v="garniture de fein "/>
    <s v="c"/>
    <x v="557"/>
    <s v="168737_x000a_168745_x000a_168737_x000a_168504_x000a_169502"/>
    <n v="2280"/>
    <n v="3420"/>
    <x v="375"/>
    <x v="0"/>
    <m/>
    <x v="0"/>
    <x v="0"/>
  </r>
  <r>
    <x v="394"/>
    <x v="13"/>
    <s v="Camion"/>
    <x v="5"/>
    <s v="4703-A-73"/>
    <n v="25660"/>
    <x v="35"/>
    <s v="des lampes "/>
    <s v="c"/>
    <x v="135"/>
    <n v="168743"/>
    <n v="120"/>
    <n v="120"/>
    <x v="375"/>
    <x v="0"/>
    <m/>
    <x v="0"/>
    <x v="0"/>
  </r>
  <r>
    <x v="395"/>
    <x v="12"/>
    <s v="Semi remorque"/>
    <x v="3"/>
    <s v="17885-A-73 "/>
    <n v="25665"/>
    <x v="35"/>
    <s v="des lampes "/>
    <s v="c"/>
    <x v="558"/>
    <n v="168727"/>
    <n v="180"/>
    <n v="180"/>
    <x v="376"/>
    <x v="0"/>
    <m/>
    <x v="0"/>
    <x v="0"/>
  </r>
  <r>
    <x v="396"/>
    <x v="23"/>
    <s v="Semi remorque"/>
    <x v="6"/>
    <s v="706-A-73"/>
    <n v="25671"/>
    <x v="66"/>
    <s v="des injecteurs"/>
    <s v="c"/>
    <x v="559"/>
    <m/>
    <n v="570"/>
    <n v="570"/>
    <x v="351"/>
    <x v="0"/>
    <m/>
    <x v="0"/>
    <x v="0"/>
  </r>
  <r>
    <x v="397"/>
    <x v="7"/>
    <s v="Camion"/>
    <x v="5"/>
    <s v=" 11469-A-73"/>
    <n v="25659"/>
    <x v="0"/>
    <s v="vidange"/>
    <s v="c"/>
    <x v="560"/>
    <n v="168742"/>
    <n v="60"/>
    <n v="60"/>
    <x v="377"/>
    <x v="0"/>
    <m/>
    <x v="0"/>
    <x v="0"/>
  </r>
  <r>
    <x v="398"/>
    <x v="18"/>
    <s v="Camion"/>
    <x v="5"/>
    <s v="4969-A-73 "/>
    <n v="25661"/>
    <x v="0"/>
    <s v="vidange"/>
    <s v="c"/>
    <x v="561"/>
    <n v="169505"/>
    <n v="120"/>
    <n v="120"/>
    <x v="375"/>
    <x v="0"/>
    <m/>
    <x v="0"/>
    <x v="0"/>
  </r>
  <r>
    <x v="399"/>
    <x v="15"/>
    <s v="Chariot elevateur"/>
    <x v="10"/>
    <s v="-"/>
    <n v="25662"/>
    <x v="0"/>
    <s v="mise a niveau"/>
    <s v="P"/>
    <x v="130"/>
    <n v="169506"/>
    <n v="30"/>
    <n v="30"/>
    <x v="378"/>
    <x v="0"/>
    <m/>
    <x v="0"/>
    <x v="0"/>
  </r>
  <r>
    <x v="399"/>
    <x v="29"/>
    <s v="25/9/"/>
    <x v="16"/>
    <s v="-"/>
    <n v="25691"/>
    <x v="86"/>
    <s v="pont avant "/>
    <s v="c"/>
    <x v="562"/>
    <n v="168907"/>
    <n v="7410"/>
    <n v="7410"/>
    <x v="166"/>
    <x v="0"/>
    <m/>
    <x v="0"/>
    <x v="0"/>
  </r>
  <r>
    <x v="400"/>
    <x v="12"/>
    <s v="Semi remorque"/>
    <x v="3"/>
    <s v="17885-A-73 "/>
    <n v="25668"/>
    <x v="16"/>
    <s v="crevaison pneu "/>
    <s v="c"/>
    <x v="45"/>
    <n v="1699511"/>
    <n v="60"/>
    <n v="60"/>
    <x v="378"/>
    <x v="0"/>
    <m/>
    <x v="0"/>
    <x v="0"/>
  </r>
  <r>
    <x v="400"/>
    <x v="16"/>
    <s v="Camion"/>
    <x v="5"/>
    <s v="11470-A-73"/>
    <n v="25673"/>
    <x v="28"/>
    <s v="pedale de frein "/>
    <s v="c"/>
    <x v="563"/>
    <n v="169517"/>
    <n v="570"/>
    <n v="570"/>
    <x v="379"/>
    <x v="0"/>
    <m/>
    <x v="0"/>
    <x v="0"/>
  </r>
  <r>
    <x v="401"/>
    <x v="39"/>
    <s v="Chargeur"/>
    <x v="12"/>
    <s v="-"/>
    <n v="25666"/>
    <x v="80"/>
    <s v="injection gasoil "/>
    <s v="c"/>
    <x v="564"/>
    <n v="169515"/>
    <n v="570"/>
    <n v="570"/>
    <x v="380"/>
    <x v="0"/>
    <m/>
    <x v="0"/>
    <x v="0"/>
  </r>
  <r>
    <x v="401"/>
    <x v="9"/>
    <s v="Bus de transport"/>
    <x v="7"/>
    <s v="22772-A-73"/>
    <n v="25669"/>
    <x v="25"/>
    <s v="accident "/>
    <s v="c"/>
    <x v="565"/>
    <s v="169514_x000a_169519"/>
    <n v="3420"/>
    <n v="3420"/>
    <x v="381"/>
    <x v="0"/>
    <m/>
    <x v="0"/>
    <x v="0"/>
  </r>
  <r>
    <x v="402"/>
    <x v="14"/>
    <s v="Balayeuse"/>
    <x v="9"/>
    <s v="-"/>
    <n v="25694"/>
    <x v="101"/>
    <s v="pompe a huile "/>
    <s v="c"/>
    <x v="566"/>
    <s v="168965_x000a_169521_x000a_168957_x000a_168976_x000a_168972_x000a_168546_x000a_168"/>
    <n v="3420"/>
    <n v="6840"/>
    <x v="382"/>
    <x v="0"/>
    <m/>
    <x v="0"/>
    <x v="0"/>
  </r>
  <r>
    <x v="403"/>
    <x v="15"/>
    <s v="Chariot elevateur"/>
    <x v="10"/>
    <s v="-"/>
    <n v="25675"/>
    <x v="102"/>
    <s v="des roullements"/>
    <s v="c"/>
    <x v="567"/>
    <n v="169523"/>
    <n v="180"/>
    <n v="180"/>
    <x v="383"/>
    <x v="0"/>
    <m/>
    <x v="0"/>
    <x v="0"/>
  </r>
  <r>
    <x v="403"/>
    <x v="22"/>
    <s v="Chariot elevateur"/>
    <x v="14"/>
    <s v="-"/>
    <n v="25676"/>
    <x v="0"/>
    <s v="filtre a air "/>
    <s v="c"/>
    <x v="568"/>
    <n v="169527"/>
    <n v="30"/>
    <n v="30"/>
    <x v="384"/>
    <x v="0"/>
    <m/>
    <x v="0"/>
    <x v="0"/>
  </r>
  <r>
    <x v="403"/>
    <x v="11"/>
    <s v="Semi remorque"/>
    <x v="3"/>
    <s v="17886-A-73 "/>
    <n v="25678"/>
    <x v="35"/>
    <s v="des lampes "/>
    <s v="c"/>
    <x v="48"/>
    <n v="169528"/>
    <n v="120"/>
    <n v="120"/>
    <x v="383"/>
    <x v="0"/>
    <m/>
    <x v="0"/>
    <x v="0"/>
  </r>
  <r>
    <x v="404"/>
    <x v="1"/>
    <s v="Camion"/>
    <x v="1"/>
    <s v="26128-A-8"/>
    <n v="25679"/>
    <x v="9"/>
    <s v="usure "/>
    <s v="c"/>
    <x v="569"/>
    <n v="169530"/>
    <n v="120"/>
    <n v="120"/>
    <x v="385"/>
    <x v="0"/>
    <m/>
    <x v="0"/>
    <x v="0"/>
  </r>
  <r>
    <x v="404"/>
    <x v="20"/>
    <s v="Camion"/>
    <x v="6"/>
    <s v="4790-B-8"/>
    <n v="25682"/>
    <x v="103"/>
    <s v="support cardon "/>
    <s v="c"/>
    <x v="570"/>
    <n v="169531"/>
    <n v="570"/>
    <n v="570"/>
    <x v="385"/>
    <x v="0"/>
    <m/>
    <x v="0"/>
    <x v="0"/>
  </r>
  <r>
    <x v="405"/>
    <x v="4"/>
    <s v="Camion"/>
    <x v="3"/>
    <s v="22299-A-73"/>
    <n v="25680"/>
    <x v="0"/>
    <s v="vidange"/>
    <s v="P"/>
    <x v="571"/>
    <n v="169536"/>
    <n v="120"/>
    <n v="120"/>
    <x v="386"/>
    <x v="0"/>
    <m/>
    <x v="0"/>
    <x v="0"/>
  </r>
  <r>
    <x v="405"/>
    <x v="7"/>
    <s v="Camion"/>
    <x v="5"/>
    <s v=" 11469-A-73"/>
    <n v="25681"/>
    <x v="0"/>
    <s v="filtre a air "/>
    <s v="c"/>
    <x v="572"/>
    <n v="169539"/>
    <n v="30"/>
    <n v="30"/>
    <x v="386"/>
    <x v="0"/>
    <m/>
    <x v="0"/>
    <x v="0"/>
  </r>
  <r>
    <x v="405"/>
    <x v="33"/>
    <s v="Chariot elevateur"/>
    <x v="18"/>
    <s v="-"/>
    <n v="25685"/>
    <x v="0"/>
    <s v="vidange"/>
    <s v="c"/>
    <x v="573"/>
    <n v="168956"/>
    <n v="60"/>
    <n v="60"/>
    <x v="386"/>
    <x v="0"/>
    <m/>
    <x v="0"/>
    <x v="0"/>
  </r>
  <r>
    <x v="406"/>
    <x v="28"/>
    <s v="Chariot elevateur"/>
    <x v="13"/>
    <s v="-"/>
    <n v="25683"/>
    <x v="0"/>
    <s v="vidange"/>
    <s v="c"/>
    <x v="574"/>
    <n v="168954"/>
    <n v="60"/>
    <n v="60"/>
    <x v="387"/>
    <x v="0"/>
    <m/>
    <x v="0"/>
    <x v="0"/>
  </r>
  <r>
    <x v="406"/>
    <x v="22"/>
    <s v="Chariot elevateur"/>
    <x v="14"/>
    <s v="-"/>
    <n v="25684"/>
    <x v="62"/>
    <s v="filttratino d'huile "/>
    <s v="c"/>
    <x v="575"/>
    <n v="168955"/>
    <n v="1140"/>
    <n v="1140"/>
    <x v="381"/>
    <x v="0"/>
    <m/>
    <x v="0"/>
    <x v="0"/>
  </r>
  <r>
    <x v="406"/>
    <x v="9"/>
    <s v="Bus de transport"/>
    <x v="7"/>
    <s v="22772-A-73"/>
    <n v="25697"/>
    <x v="104"/>
    <s v="accident "/>
    <s v="c"/>
    <x v="576"/>
    <n v="168951"/>
    <n v="240"/>
    <n v="240"/>
    <x v="387"/>
    <x v="0"/>
    <m/>
    <x v="0"/>
    <x v="0"/>
  </r>
  <r>
    <x v="407"/>
    <x v="32"/>
    <s v="Chariot elevateur"/>
    <x v="2"/>
    <s v="-"/>
    <n v="25686"/>
    <x v="0"/>
    <s v="vidange"/>
    <s v="c"/>
    <x v="577"/>
    <n v="168958"/>
    <n v="60"/>
    <n v="60"/>
    <x v="388"/>
    <x v="0"/>
    <m/>
    <x v="0"/>
    <x v="0"/>
  </r>
  <r>
    <x v="407"/>
    <x v="2"/>
    <s v="Chariot elevateur"/>
    <x v="2"/>
    <s v="-"/>
    <n v="25689"/>
    <x v="9"/>
    <s v="usure "/>
    <s v="c"/>
    <x v="578"/>
    <s v="168983_x000a_169543_x000a_168981"/>
    <n v="2240"/>
    <n v="2247"/>
    <x v="166"/>
    <x v="0"/>
    <m/>
    <x v="0"/>
    <x v="0"/>
  </r>
  <r>
    <x v="408"/>
    <x v="30"/>
    <s v=""/>
    <x v="24"/>
    <s v=" "/>
    <n v="25674"/>
    <x v="105"/>
    <s v="usure "/>
    <s v="c"/>
    <x v="579"/>
    <m/>
    <n v="1140"/>
    <n v="1140"/>
    <x v="384"/>
    <x v="0"/>
    <m/>
    <x v="0"/>
    <x v="0"/>
  </r>
  <r>
    <x v="409"/>
    <x v="9"/>
    <s v="Bus de transport"/>
    <x v="7"/>
    <s v="22772-A-73"/>
    <n v="25687"/>
    <x v="0"/>
    <s v="vidange"/>
    <s v="c"/>
    <x v="580"/>
    <n v="168962"/>
    <n v="120"/>
    <n v="120"/>
    <x v="389"/>
    <x v="0"/>
    <m/>
    <x v="0"/>
    <x v="0"/>
  </r>
  <r>
    <x v="409"/>
    <x v="17"/>
    <s v="Bus de transport"/>
    <x v="11"/>
    <s v="18516-A-73"/>
    <n v="25688"/>
    <x v="0"/>
    <s v="vidange"/>
    <s v="c"/>
    <x v="581"/>
    <n v="168963"/>
    <n v="120"/>
    <n v="120"/>
    <x v="389"/>
    <x v="0"/>
    <m/>
    <x v="0"/>
    <x v="0"/>
  </r>
  <r>
    <x v="409"/>
    <x v="16"/>
    <s v="Camion"/>
    <x v="5"/>
    <s v="11470-A-73"/>
    <n v="25689"/>
    <x v="9"/>
    <s v="usure "/>
    <s v="c"/>
    <x v="582"/>
    <n v="168966"/>
    <n v="120"/>
    <n v="120"/>
    <x v="389"/>
    <x v="4"/>
    <m/>
    <x v="0"/>
    <x v="0"/>
  </r>
  <r>
    <x v="410"/>
    <x v="9"/>
    <s v="Bus de transport"/>
    <x v="7"/>
    <s v="22772-A-73"/>
    <n v="24653"/>
    <x v="25"/>
    <s v="peinture "/>
    <s v="c"/>
    <x v="583"/>
    <n v="170261"/>
    <n v="5700"/>
    <n v="5700"/>
    <x v="390"/>
    <x v="0"/>
    <m/>
    <x v="0"/>
    <x v="0"/>
  </r>
  <r>
    <x v="411"/>
    <x v="4"/>
    <s v="Camion"/>
    <x v="3"/>
    <s v="22299-A-73"/>
    <n v="25695"/>
    <x v="9"/>
    <s v="usure "/>
    <s v="c"/>
    <x v="584"/>
    <n v="168974"/>
    <n v="360"/>
    <n v="360"/>
    <x v="166"/>
    <x v="0"/>
    <m/>
    <x v="0"/>
    <x v="0"/>
  </r>
  <r>
    <x v="412"/>
    <x v="11"/>
    <s v="Semi remorque"/>
    <x v="3"/>
    <s v="17886-A-73 "/>
    <n v="25696"/>
    <x v="106"/>
    <s v="usure "/>
    <s v="P"/>
    <x v="585"/>
    <s v="168975_x000a_1"/>
    <n v="570"/>
    <n v="570"/>
    <x v="391"/>
    <x v="0"/>
    <m/>
    <x v="0"/>
    <x v="0"/>
  </r>
  <r>
    <x v="413"/>
    <x v="8"/>
    <s v="Semi remorque"/>
    <x v="6"/>
    <s v="28659-D-1 "/>
    <n v="25698"/>
    <x v="0"/>
    <s v="vidange"/>
    <s v="P"/>
    <x v="586"/>
    <n v="168984"/>
    <n v="120"/>
    <n v="120"/>
    <x v="382"/>
    <x v="0"/>
    <m/>
    <x v="0"/>
    <x v="0"/>
  </r>
  <r>
    <x v="414"/>
    <x v="4"/>
    <s v="Camion"/>
    <x v="3"/>
    <s v="22299-A-73"/>
    <n v="25699"/>
    <x v="11"/>
    <s v="usure "/>
    <s v="c"/>
    <x v="587"/>
    <n v="168988"/>
    <n v="570"/>
    <n v="570"/>
    <x v="392"/>
    <x v="0"/>
    <m/>
    <x v="0"/>
    <x v="0"/>
  </r>
  <r>
    <x v="415"/>
    <x v="38"/>
    <s v="Voiture de fonction"/>
    <x v="25"/>
    <s v="4812-A-73"/>
    <n v="24651"/>
    <x v="7"/>
    <s v="disque d'embrayage "/>
    <s v="c"/>
    <x v="588"/>
    <s v="170253_x000a_170258_x000a_170257_x000a_170255"/>
    <n v="1140"/>
    <n v="1140"/>
    <x v="393"/>
    <x v="0"/>
    <m/>
    <x v="0"/>
    <x v="0"/>
  </r>
  <r>
    <x v="416"/>
    <x v="3"/>
    <s v="Camion"/>
    <x v="3"/>
    <s v="22300-A-73"/>
    <n v="24656"/>
    <x v="107"/>
    <s v="boite vitesse "/>
    <s v="c"/>
    <x v="589"/>
    <s v="170265_x000a_170256"/>
    <n v="1710"/>
    <n v="1710"/>
    <x v="394"/>
    <x v="0"/>
    <m/>
    <x v="0"/>
    <x v="0"/>
  </r>
  <r>
    <x v="417"/>
    <x v="2"/>
    <s v="Chariot elevateur"/>
    <x v="2"/>
    <s v="-"/>
    <n v="24652"/>
    <x v="51"/>
    <s v="alternateur de charge battrie "/>
    <s v="c"/>
    <x v="590"/>
    <n v="180"/>
    <n v="180"/>
    <n v="570"/>
    <x v="393"/>
    <x v="0"/>
    <m/>
    <x v="0"/>
    <x v="0"/>
  </r>
  <r>
    <x v="418"/>
    <x v="26"/>
    <s v="Chariot elevateur"/>
    <x v="15"/>
    <s v="-"/>
    <n v="24657"/>
    <x v="11"/>
    <s v="pompe a huile "/>
    <s v="c"/>
    <x v="591"/>
    <n v="170273"/>
    <n v="570"/>
    <n v="570"/>
    <x v="395"/>
    <x v="0"/>
    <m/>
    <x v="0"/>
    <x v="0"/>
  </r>
  <r>
    <x v="419"/>
    <x v="23"/>
    <s v="Semi remorque"/>
    <x v="6"/>
    <s v="706-A-73"/>
    <n v="24654"/>
    <x v="31"/>
    <s v="706-A-73"/>
    <s v="c"/>
    <x v="592"/>
    <n v="170263"/>
    <n v="120"/>
    <n v="120"/>
    <x v="395"/>
    <x v="0"/>
    <m/>
    <x v="0"/>
    <x v="0"/>
  </r>
  <r>
    <x v="419"/>
    <x v="9"/>
    <s v="Bus de transport"/>
    <x v="7"/>
    <s v="22772-A-73"/>
    <n v="24658"/>
    <x v="35"/>
    <s v="des lampes "/>
    <s v="c"/>
    <x v="593"/>
    <n v="1170264"/>
    <n v="120"/>
    <n v="120"/>
    <x v="395"/>
    <x v="0"/>
    <m/>
    <x v="0"/>
    <x v="0"/>
  </r>
  <r>
    <x v="419"/>
    <x v="28"/>
    <s v="Chariot elevateur"/>
    <x v="13"/>
    <s v="-"/>
    <n v="24659"/>
    <x v="0"/>
    <s v="mise a niveau"/>
    <s v="c"/>
    <x v="594"/>
    <n v="170268"/>
    <n v="120"/>
    <n v="120"/>
    <x v="395"/>
    <x v="0"/>
    <m/>
    <x v="0"/>
    <x v="0"/>
  </r>
  <r>
    <x v="419"/>
    <x v="29"/>
    <s v="Chariot elevateur"/>
    <x v="16"/>
    <s v="-"/>
    <n v="24660"/>
    <x v="21"/>
    <s v="joint du flexible "/>
    <s v="c"/>
    <x v="595"/>
    <n v="170267"/>
    <n v="360"/>
    <n v="360"/>
    <x v="395"/>
    <x v="0"/>
    <m/>
    <x v="0"/>
    <x v="0"/>
  </r>
  <r>
    <x v="419"/>
    <x v="19"/>
    <s v="Chargeur"/>
    <x v="12"/>
    <s v="-"/>
    <n v="24661"/>
    <x v="27"/>
    <s v="injection gasoil "/>
    <s v="c"/>
    <x v="596"/>
    <s v="170288_x000a_170287"/>
    <n v="2280"/>
    <n v="3990"/>
    <x v="396"/>
    <x v="0"/>
    <m/>
    <x v="0"/>
    <x v="0"/>
  </r>
  <r>
    <x v="420"/>
    <x v="10"/>
    <s v="Camion"/>
    <x v="8"/>
    <s v="25636-A-13"/>
    <n v="24662"/>
    <x v="21"/>
    <s v="durite d'huile "/>
    <s v="c"/>
    <x v="597"/>
    <n v="170263"/>
    <n v="240"/>
    <n v="240"/>
    <x v="390"/>
    <x v="0"/>
    <m/>
    <x v="0"/>
    <x v="0"/>
  </r>
  <r>
    <x v="420"/>
    <x v="30"/>
    <s v="dacia khalil"/>
    <x v="24"/>
    <s v=" "/>
    <n v="24663"/>
    <x v="27"/>
    <s v="battrie de démarrage "/>
    <s v="c"/>
    <x v="598"/>
    <n v="170271"/>
    <n v="60"/>
    <n v="60"/>
    <x v="390"/>
    <x v="0"/>
    <m/>
    <x v="0"/>
    <x v="0"/>
  </r>
  <r>
    <x v="420"/>
    <x v="11"/>
    <s v="Semi remorque"/>
    <x v="3"/>
    <s v="17886-A-73 "/>
    <n v="24665"/>
    <x v="35"/>
    <s v="des lampes "/>
    <s v="c"/>
    <x v="48"/>
    <n v="170272"/>
    <m/>
    <n v="125791"/>
    <x v="57"/>
    <x v="0"/>
    <m/>
    <x v="0"/>
    <x v="0"/>
  </r>
  <r>
    <x v="421"/>
    <x v="24"/>
    <s v="Voiture de fonction"/>
    <x v="0"/>
    <s v="10551-A-73"/>
    <n v="24664"/>
    <x v="10"/>
    <s v="des amortisseurs"/>
    <s v="c"/>
    <x v="599"/>
    <m/>
    <m/>
    <s v=""/>
    <x v="57"/>
    <x v="0"/>
    <m/>
    <x v="0"/>
    <x v="0"/>
  </r>
  <r>
    <x v="421"/>
    <x v="1"/>
    <s v="Camion"/>
    <x v="1"/>
    <s v="26128-A-8"/>
    <n v="24666"/>
    <x v="35"/>
    <s v="des lampes "/>
    <s v="c"/>
    <x v="600"/>
    <n v="170277"/>
    <n v="60"/>
    <n v="6"/>
    <x v="397"/>
    <x v="0"/>
    <m/>
    <x v="0"/>
    <x v="0"/>
  </r>
  <r>
    <x v="421"/>
    <x v="12"/>
    <s v="Semi remorque"/>
    <x v="3"/>
    <s v="17885-A-73 "/>
    <n v="24668"/>
    <x v="35"/>
    <s v="des lampes "/>
    <s v="c"/>
    <x v="601"/>
    <n v="170280"/>
    <n v="60"/>
    <n v="60"/>
    <x v="397"/>
    <x v="0"/>
    <m/>
    <x v="0"/>
    <x v="0"/>
  </r>
  <r>
    <x v="421"/>
    <x v="2"/>
    <s v="Chariot elevateur"/>
    <x v="2"/>
    <s v="-"/>
    <n v="24669"/>
    <x v="27"/>
    <s v="monque de charge battrie "/>
    <s v="c"/>
    <x v="590"/>
    <n v="170281"/>
    <n v="60"/>
    <n v="60"/>
    <x v="397"/>
    <x v="0"/>
    <m/>
    <x v="0"/>
    <x v="0"/>
  </r>
  <r>
    <x v="421"/>
    <x v="6"/>
    <s v="Pick up"/>
    <x v="4"/>
    <s v="22368-A-73"/>
    <n v="24670"/>
    <x v="0"/>
    <s v="vidange"/>
    <s v="c"/>
    <x v="602"/>
    <n v="170284"/>
    <n v="120"/>
    <n v="120"/>
    <x v="397"/>
    <x v="0"/>
    <m/>
    <x v="0"/>
    <x v="0"/>
  </r>
  <r>
    <x v="421"/>
    <x v="3"/>
    <s v="Camion"/>
    <x v="3"/>
    <s v="22300-A-73"/>
    <n v="24671"/>
    <x v="0"/>
    <s v="vidange"/>
    <s v="c"/>
    <x v="603"/>
    <s v="170285_x000a_170289"/>
    <n v="180"/>
    <n v="180"/>
    <x v="397"/>
    <x v="0"/>
    <m/>
    <x v="0"/>
    <x v="0"/>
  </r>
  <r>
    <x v="422"/>
    <x v="7"/>
    <s v="Camion"/>
    <x v="5"/>
    <s v=" 11469-A-73"/>
    <n v="24672"/>
    <x v="0"/>
    <s v="vidange"/>
    <s v="c"/>
    <x v="604"/>
    <n v="170293"/>
    <n v="120"/>
    <n v="120"/>
    <x v="398"/>
    <x v="0"/>
    <m/>
    <x v="0"/>
    <x v="0"/>
  </r>
  <r>
    <x v="423"/>
    <x v="18"/>
    <s v="Camion"/>
    <x v="5"/>
    <s v="4969-A-73 "/>
    <n v="24673"/>
    <x v="16"/>
    <s v="usure "/>
    <s v="c"/>
    <x v="605"/>
    <n v="170103"/>
    <n v="120"/>
    <n v="120"/>
    <x v="399"/>
    <x v="0"/>
    <m/>
    <x v="0"/>
    <x v="0"/>
  </r>
  <r>
    <x v="423"/>
    <x v="23"/>
    <s v="Semi remorque"/>
    <x v="6"/>
    <s v="706-A-73"/>
    <n v="24676"/>
    <x v="15"/>
    <s v="presion dair insifusant "/>
    <s v="c"/>
    <x v="606"/>
    <s v="171125_x000a_171136_x000a_171140_x000a_171113"/>
    <n v="2850"/>
    <n v="4560"/>
    <x v="400"/>
    <x v="0"/>
    <m/>
    <x v="0"/>
    <x v="0"/>
  </r>
  <r>
    <x v="423"/>
    <x v="15"/>
    <s v="Chariot elevateur"/>
    <x v="10"/>
    <s v="-"/>
    <n v="24687"/>
    <x v="70"/>
    <s v="radiateur "/>
    <s v="c"/>
    <x v="607"/>
    <s v="171141_x000a_171465_x000a_171460_x000a_171456"/>
    <n v="2850"/>
    <n v="5700"/>
    <x v="401"/>
    <x v="0"/>
    <m/>
    <x v="0"/>
    <x v="0"/>
  </r>
  <r>
    <x v="424"/>
    <x v="2"/>
    <s v="Chariot elevateur"/>
    <x v="2"/>
    <s v="-"/>
    <n v="24674"/>
    <x v="86"/>
    <s v="electrovalve "/>
    <s v="c"/>
    <x v="608"/>
    <n v="171109"/>
    <n v="180"/>
    <n v="180"/>
    <x v="402"/>
    <x v="0"/>
    <m/>
    <x v="0"/>
    <x v="0"/>
  </r>
  <r>
    <x v="425"/>
    <x v="22"/>
    <s v="Chariot elevateur"/>
    <x v="14"/>
    <s v="-"/>
    <n v="24675"/>
    <x v="108"/>
    <s v="huile de frein a basse niveau"/>
    <s v="c"/>
    <x v="609"/>
    <n v="171105"/>
    <n v="30"/>
    <n v="30"/>
    <x v="403"/>
    <x v="0"/>
    <m/>
    <x v="0"/>
    <x v="0"/>
  </r>
  <r>
    <x v="425"/>
    <x v="2"/>
    <s v="Chariot elevateur"/>
    <x v="2"/>
    <s v="-"/>
    <n v="24677"/>
    <x v="0"/>
    <s v="vidange"/>
    <s v="P"/>
    <x v="610"/>
    <n v="171114"/>
    <n v="120"/>
    <n v="120"/>
    <x v="404"/>
    <x v="0"/>
    <m/>
    <x v="0"/>
    <x v="0"/>
  </r>
  <r>
    <x v="426"/>
    <x v="12"/>
    <s v="Semi remorque"/>
    <x v="3"/>
    <s v="17885-A-73 "/>
    <n v="24678"/>
    <x v="0"/>
    <s v="vidange"/>
    <s v="P"/>
    <x v="611"/>
    <s v="171116_x000a_171117"/>
    <n v="122"/>
    <n v="120"/>
    <x v="405"/>
    <x v="0"/>
    <m/>
    <x v="0"/>
    <x v="0"/>
  </r>
  <r>
    <x v="426"/>
    <x v="13"/>
    <s v="Camion"/>
    <x v="5"/>
    <s v="4703-A-73"/>
    <n v="24679"/>
    <x v="16"/>
    <s v="usure "/>
    <s v="c"/>
    <x v="612"/>
    <n v="171120"/>
    <n v="120"/>
    <n v="120"/>
    <x v="405"/>
    <x v="0"/>
    <m/>
    <x v="0"/>
    <x v="0"/>
  </r>
  <r>
    <x v="427"/>
    <x v="11"/>
    <s v="Semi remorque"/>
    <x v="3"/>
    <s v="17886-A-73 "/>
    <n v="24680"/>
    <x v="0"/>
    <s v="vidange"/>
    <s v="P "/>
    <x v="613"/>
    <n v="171121"/>
    <n v="120"/>
    <n v="120"/>
    <x v="406"/>
    <x v="0"/>
    <m/>
    <x v="0"/>
    <x v="0"/>
  </r>
  <r>
    <x v="428"/>
    <x v="30"/>
    <s v="station lavage"/>
    <x v="24"/>
    <s v=" "/>
    <n v="24681"/>
    <x v="31"/>
    <s v="flexible percé"/>
    <m/>
    <x v="614"/>
    <n v="171126"/>
    <n v="120"/>
    <n v="12"/>
    <x v="407"/>
    <x v="0"/>
    <m/>
    <x v="0"/>
    <x v="0"/>
  </r>
  <r>
    <x v="429"/>
    <x v="1"/>
    <s v="Camion"/>
    <x v="1"/>
    <s v="26128-A-8"/>
    <n v="24683"/>
    <x v="35"/>
    <s v="des lampes "/>
    <s v="c"/>
    <x v="135"/>
    <n v="171131"/>
    <n v="30"/>
    <n v="30"/>
    <x v="408"/>
    <x v="0"/>
    <m/>
    <x v="0"/>
    <x v="0"/>
  </r>
  <r>
    <x v="429"/>
    <x v="8"/>
    <s v="Semi remorque"/>
    <x v="6"/>
    <s v="28659-D-1 "/>
    <n v="24684"/>
    <x v="9"/>
    <s v="crevaison pneu "/>
    <s v="c"/>
    <x v="87"/>
    <n v="171132"/>
    <n v="30"/>
    <n v="30"/>
    <x v="408"/>
    <x v="0"/>
    <m/>
    <x v="0"/>
    <x v="0"/>
  </r>
  <r>
    <x v="429"/>
    <x v="26"/>
    <s v="Chariot elevateur"/>
    <x v="15"/>
    <s v="-"/>
    <n v="24685"/>
    <x v="86"/>
    <s v="tirette "/>
    <s v="c"/>
    <x v="615"/>
    <n v="171133"/>
    <n v="120"/>
    <n v="120"/>
    <x v="408"/>
    <x v="0"/>
    <m/>
    <x v="0"/>
    <x v="0"/>
  </r>
  <r>
    <x v="429"/>
    <x v="6"/>
    <s v="Pick up"/>
    <x v="4"/>
    <s v="22368-A-73"/>
    <n v="24686"/>
    <x v="16"/>
    <s v="usure "/>
    <s v="c"/>
    <x v="616"/>
    <s v="171135_x000a_1711425"/>
    <n v="120"/>
    <n v="120"/>
    <x v="408"/>
    <x v="0"/>
    <m/>
    <x v="0"/>
    <x v="0"/>
  </r>
  <r>
    <x v="430"/>
    <x v="20"/>
    <s v="Camion"/>
    <x v="6"/>
    <s v="4790-B-8"/>
    <n v="24682"/>
    <x v="10"/>
    <s v="ressort a lame "/>
    <s v="c"/>
    <x v="22"/>
    <s v="171130_x000a_171146"/>
    <n v="570"/>
    <n v="570"/>
    <x v="407"/>
    <x v="0"/>
    <m/>
    <x v="0"/>
    <x v="0"/>
  </r>
  <r>
    <x v="431"/>
    <x v="28"/>
    <s v="Chariot elevateur"/>
    <x v="13"/>
    <s v="-"/>
    <n v="24688"/>
    <x v="0"/>
    <s v="vidange"/>
    <m/>
    <x v="617"/>
    <n v="171144"/>
    <n v="120"/>
    <n v="120"/>
    <x v="409"/>
    <x v="0"/>
    <m/>
    <x v="0"/>
    <x v="0"/>
  </r>
  <r>
    <x v="431"/>
    <x v="19"/>
    <s v="Chargeur"/>
    <x v="12"/>
    <s v="-"/>
    <n v="24692"/>
    <x v="66"/>
    <s v="des injecteurs"/>
    <s v="c"/>
    <x v="618"/>
    <s v="171134_x000a_171765_x000a_171755"/>
    <n v="120"/>
    <n v="120"/>
    <x v="410"/>
    <x v="0"/>
    <m/>
    <x v="0"/>
    <x v="0"/>
  </r>
  <r>
    <x v="431"/>
    <x v="24"/>
    <s v="Voiture de fonction"/>
    <x v="0"/>
    <s v="10551-A-73"/>
    <n v="24695"/>
    <x v="10"/>
    <s v="des amortisseurs"/>
    <s v="c"/>
    <x v="619"/>
    <s v="171452_x000a_171479_x000a_171484_x000a_171474"/>
    <n v="2850"/>
    <n v="8550"/>
    <x v="411"/>
    <x v="0"/>
    <m/>
    <x v="0"/>
    <x v="0"/>
  </r>
  <r>
    <x v="431"/>
    <x v="39"/>
    <s v="Chargeur"/>
    <x v="12"/>
    <s v="-"/>
    <n v="24696"/>
    <x v="109"/>
    <s v="manque de frein"/>
    <s v="c"/>
    <x v="620"/>
    <s v="172729_x000a_171478_x000a_171457_x000a_171459"/>
    <n v="4500"/>
    <n v="10260"/>
    <x v="412"/>
    <x v="0"/>
    <m/>
    <x v="0"/>
    <x v="0"/>
  </r>
  <r>
    <x v="431"/>
    <x v="11"/>
    <s v="Semi remorque"/>
    <x v="3"/>
    <s v="17886-A-73 "/>
    <n v="25302"/>
    <x v="35"/>
    <s v="des lampes "/>
    <s v="c"/>
    <x v="621"/>
    <n v="171478"/>
    <n v="180"/>
    <n v="180"/>
    <x v="409"/>
    <x v="0"/>
    <m/>
    <x v="0"/>
    <x v="0"/>
  </r>
  <r>
    <x v="431"/>
    <x v="29"/>
    <s v="Chariot elevateur"/>
    <x v="16"/>
    <s v="-"/>
    <n v="25303"/>
    <x v="86"/>
    <s v="pont avant "/>
    <s v="c"/>
    <x v="562"/>
    <s v="171454_x000a_171453_x000a_171143_x000a_171279"/>
    <m/>
    <e v="#VALUE!"/>
    <x v="57"/>
    <x v="0"/>
    <m/>
    <x v="0"/>
    <x v="0"/>
  </r>
  <r>
    <x v="432"/>
    <x v="10"/>
    <s v="Camion"/>
    <x v="8"/>
    <s v="25636-A-13"/>
    <n v="24689"/>
    <x v="10"/>
    <s v="ressort a lame "/>
    <s v="c"/>
    <x v="22"/>
    <n v="11145"/>
    <n v="570"/>
    <n v="570"/>
    <x v="413"/>
    <x v="0"/>
    <m/>
    <x v="0"/>
    <x v="0"/>
  </r>
  <r>
    <x v="433"/>
    <x v="38"/>
    <s v="Voiture de fonction"/>
    <x v="25"/>
    <s v="4812-A-73"/>
    <n v="24690"/>
    <x v="0"/>
    <s v="vidange"/>
    <s v="c"/>
    <x v="622"/>
    <n v="171455"/>
    <n v="120"/>
    <n v="120"/>
    <x v="414"/>
    <x v="0"/>
    <m/>
    <x v="0"/>
    <x v="0"/>
  </r>
  <r>
    <x v="434"/>
    <x v="17"/>
    <s v="Bus de transport"/>
    <x v="11"/>
    <s v="18516-A-73"/>
    <n v="24694"/>
    <x v="25"/>
    <s v="peinture "/>
    <s v="c"/>
    <x v="623"/>
    <s v="171758_x000a_171485_x000a_171489"/>
    <n v="1140"/>
    <n v="5700"/>
    <x v="410"/>
    <x v="0"/>
    <m/>
    <x v="0"/>
    <x v="0"/>
  </r>
  <r>
    <x v="435"/>
    <x v="27"/>
    <s v="Voiture de fonction"/>
    <x v="0"/>
    <s v=" 9660 -A-73"/>
    <n v="24691"/>
    <x v="0"/>
    <s v="vidange"/>
    <s v="c"/>
    <x v="624"/>
    <n v="171691"/>
    <n v="120"/>
    <n v="120"/>
    <x v="415"/>
    <x v="0"/>
    <m/>
    <x v="0"/>
    <x v="0"/>
  </r>
  <r>
    <x v="436"/>
    <x v="31"/>
    <s v="Voiture de fonction"/>
    <x v="0"/>
    <s v="50313-A-6"/>
    <n v="25301"/>
    <x v="11"/>
    <s v="pompe a huile "/>
    <s v="c"/>
    <x v="625"/>
    <n v="171477"/>
    <n v="180"/>
    <n v="180"/>
    <x v="416"/>
    <x v="0"/>
    <m/>
    <x v="0"/>
    <x v="0"/>
  </r>
  <r>
    <x v="436"/>
    <x v="3"/>
    <s v="Camion"/>
    <x v="3"/>
    <s v="22300-A-73"/>
    <n v="25304"/>
    <x v="35"/>
    <s v="des lampes "/>
    <s v="c"/>
    <x v="135"/>
    <n v="171480"/>
    <n v="120"/>
    <n v="120"/>
    <x v="417"/>
    <x v="0"/>
    <m/>
    <x v="0"/>
    <x v="0"/>
  </r>
  <r>
    <x v="436"/>
    <x v="42"/>
    <s v="Chariot elevateur"/>
    <x v="27"/>
    <n v="0"/>
    <n v="25305"/>
    <x v="27"/>
    <s v="démarreur"/>
    <s v="c"/>
    <x v="626"/>
    <n v="171482"/>
    <n v="570"/>
    <n v="570"/>
    <x v="418"/>
    <x v="0"/>
    <m/>
    <x v="0"/>
    <x v="0"/>
  </r>
  <r>
    <x v="437"/>
    <x v="7"/>
    <s v="Camion"/>
    <x v="5"/>
    <s v=" 11469-A-73"/>
    <n v="24700"/>
    <x v="21"/>
    <s v="joint culasse "/>
    <s v="c"/>
    <x v="627"/>
    <s v="171490_x000a_171468_x000a_171492_x000a_171496"/>
    <n v="2280"/>
    <n v="2850"/>
    <x v="411"/>
    <x v="0"/>
    <m/>
    <x v="0"/>
    <x v="0"/>
  </r>
  <r>
    <x v="437"/>
    <x v="10"/>
    <s v="Camion"/>
    <x v="8"/>
    <s v="25636-A-13"/>
    <n v="25306"/>
    <x v="35"/>
    <s v="des lampes "/>
    <s v="c"/>
    <x v="258"/>
    <n v="171483"/>
    <n v="180"/>
    <n v="180"/>
    <x v="419"/>
    <x v="0"/>
    <m/>
    <x v="0"/>
    <x v="0"/>
  </r>
  <r>
    <x v="437"/>
    <x v="13"/>
    <s v="Camion"/>
    <x v="5"/>
    <s v="4703-A-73"/>
    <n v="25307"/>
    <x v="80"/>
    <s v="melange d'huile avec l'eau"/>
    <s v="c"/>
    <x v="628"/>
    <n v="171486"/>
    <n v="5444"/>
    <n v="5444"/>
    <x v="420"/>
    <x v="0"/>
    <m/>
    <x v="0"/>
    <x v="0"/>
  </r>
  <r>
    <x v="438"/>
    <x v="23"/>
    <s v="Semi remorque"/>
    <x v="6"/>
    <s v="706-A-73"/>
    <n v="24697"/>
    <x v="27"/>
    <s v="des cosses battrie "/>
    <s v="c"/>
    <x v="629"/>
    <n v="171462"/>
    <n v="360"/>
    <n v="360"/>
    <x v="421"/>
    <x v="0"/>
    <m/>
    <x v="0"/>
    <x v="0"/>
  </r>
  <r>
    <x v="439"/>
    <x v="9"/>
    <s v="Bus de transport"/>
    <x v="7"/>
    <s v="22772-A-73"/>
    <n v="25308"/>
    <x v="7"/>
    <s v="disque d'embrayage "/>
    <s v="c"/>
    <x v="630"/>
    <s v="171756_x000a_171752_x000a_171751"/>
    <n v="3750"/>
    <n v="6000"/>
    <x v="422"/>
    <x v="0"/>
    <m/>
    <x v="0"/>
    <x v="0"/>
  </r>
  <r>
    <x v="439"/>
    <x v="22"/>
    <s v="Chariot elevateur"/>
    <x v="14"/>
    <s v="-"/>
    <n v="25309"/>
    <x v="35"/>
    <s v="des lampes "/>
    <s v="c"/>
    <x v="631"/>
    <n v="172757"/>
    <n v="120"/>
    <n v="120"/>
    <x v="411"/>
    <x v="0"/>
    <m/>
    <x v="0"/>
    <x v="0"/>
  </r>
  <r>
    <x v="439"/>
    <x v="9"/>
    <s v="Bus de transport"/>
    <x v="7"/>
    <s v="22772-A-73"/>
    <n v="25320"/>
    <x v="11"/>
    <s v="garniture de frein "/>
    <s v="c"/>
    <x v="632"/>
    <s v="172795_x000a_172780"/>
    <n v="2850"/>
    <n v="3420"/>
    <x v="423"/>
    <x v="0"/>
    <m/>
    <x v="0"/>
    <x v="0"/>
  </r>
  <r>
    <x v="440"/>
    <x v="19"/>
    <s v="Chargeur"/>
    <x v="12"/>
    <s v="-"/>
    <n v="25313"/>
    <x v="16"/>
    <s v="joint du pneu"/>
    <s v="c"/>
    <x v="633"/>
    <n v="172755"/>
    <n v="120"/>
    <n v="120"/>
    <x v="420"/>
    <x v="0"/>
    <m/>
    <x v="0"/>
    <x v="0"/>
  </r>
  <r>
    <x v="441"/>
    <x v="8"/>
    <s v="Semi remorque"/>
    <x v="6"/>
    <s v="28659-D-1 "/>
    <n v="25311"/>
    <x v="27"/>
    <s v="des battries"/>
    <s v="c"/>
    <x v="634"/>
    <n v="172766"/>
    <n v="120"/>
    <n v="120"/>
    <x v="424"/>
    <x v="0"/>
    <m/>
    <x v="0"/>
    <x v="0"/>
  </r>
  <r>
    <x v="441"/>
    <x v="39"/>
    <s v="Chargeur"/>
    <x v="12"/>
    <s v="-"/>
    <n v="25316"/>
    <x v="0"/>
    <s v="vidange"/>
    <s v="c"/>
    <x v="635"/>
    <n v="172772"/>
    <n v="120"/>
    <n v="360"/>
    <x v="412"/>
    <x v="0"/>
    <m/>
    <x v="0"/>
    <x v="0"/>
  </r>
  <r>
    <x v="442"/>
    <x v="23"/>
    <s v="Semi remorque"/>
    <x v="6"/>
    <s v="706-A-73"/>
    <n v="25318"/>
    <x v="15"/>
    <s v="compreseur d'air"/>
    <s v="c"/>
    <x v="636"/>
    <s v="172773_x000a_174571"/>
    <n v="1140"/>
    <n v="1140"/>
    <x v="425"/>
    <x v="0"/>
    <m/>
    <x v="0"/>
    <x v="0"/>
  </r>
  <r>
    <x v="443"/>
    <x v="22"/>
    <s v="Chariot elevateur"/>
    <x v="14"/>
    <s v="-"/>
    <n v="25329"/>
    <x v="31"/>
    <s v="plaque de distribution"/>
    <s v="c"/>
    <x v="637"/>
    <s v="173770_x000a_173786_x000a_173779_x000a_173781"/>
    <n v="4560"/>
    <n v="8550"/>
    <x v="426"/>
    <x v="0"/>
    <m/>
    <x v="0"/>
    <x v="0"/>
  </r>
  <r>
    <x v="444"/>
    <x v="20"/>
    <s v="Camion"/>
    <x v="6"/>
    <s v="4790-B-8"/>
    <n v="25321"/>
    <x v="35"/>
    <s v="des lampes "/>
    <s v="c"/>
    <x v="387"/>
    <n v="172787"/>
    <n v="180"/>
    <n v="180"/>
    <x v="403"/>
    <x v="0"/>
    <m/>
    <x v="0"/>
    <x v="0"/>
  </r>
  <r>
    <x v="445"/>
    <x v="4"/>
    <s v="Camion"/>
    <x v="3"/>
    <s v="22299-A-73"/>
    <n v="25324"/>
    <x v="9"/>
    <s v="usure "/>
    <s v="c"/>
    <x v="638"/>
    <n v="173763"/>
    <n v="120"/>
    <n v="120"/>
    <x v="427"/>
    <x v="0"/>
    <m/>
    <x v="0"/>
    <x v="0"/>
  </r>
  <r>
    <x v="445"/>
    <x v="18"/>
    <s v="Camion"/>
    <x v="5"/>
    <s v="4969-A-73 "/>
    <n v="25325"/>
    <x v="7"/>
    <s v="disque d'embrayage "/>
    <s v="c"/>
    <x v="639"/>
    <m/>
    <n v="570"/>
    <n v="570"/>
    <x v="428"/>
    <x v="0"/>
    <m/>
    <x v="0"/>
    <x v="0"/>
  </r>
  <r>
    <x v="446"/>
    <x v="16"/>
    <s v="Camion"/>
    <x v="5"/>
    <s v="11470-A-73"/>
    <n v="24699"/>
    <x v="28"/>
    <s v="tuyau d'air"/>
    <s v="c"/>
    <x v="640"/>
    <n v="171554"/>
    <n v="180"/>
    <n v="180"/>
    <x v="406"/>
    <x v="0"/>
    <m/>
    <x v="0"/>
    <x v="0"/>
  </r>
  <r>
    <x v="447"/>
    <x v="15"/>
    <s v="Chariot elevateur"/>
    <x v="10"/>
    <s v="-"/>
    <n v="25310"/>
    <x v="57"/>
    <s v="roullemet "/>
    <s v="c"/>
    <x v="641"/>
    <n v="174522"/>
    <n v="240"/>
    <n v="240"/>
    <x v="255"/>
    <x v="0"/>
    <m/>
    <x v="0"/>
    <x v="0"/>
  </r>
  <r>
    <x v="447"/>
    <x v="16"/>
    <s v="Camion"/>
    <x v="5"/>
    <s v="11470-A-73"/>
    <n v="25312"/>
    <x v="35"/>
    <s v="des lampes "/>
    <s v="c"/>
    <x v="266"/>
    <n v="173754"/>
    <n v="30"/>
    <n v="30"/>
    <x v="255"/>
    <x v="0"/>
    <m/>
    <x v="0"/>
    <x v="0"/>
  </r>
  <r>
    <x v="447"/>
    <x v="17"/>
    <s v="Bus de transport"/>
    <x v="11"/>
    <s v="18516-A-73"/>
    <n v="25322"/>
    <x v="80"/>
    <s v="refroidissement erriguliaire "/>
    <s v="c"/>
    <x v="642"/>
    <s v="173759_x000a_173766"/>
    <n v="1710"/>
    <n v="2280"/>
    <x v="429"/>
    <x v="0"/>
    <m/>
    <x v="0"/>
    <x v="0"/>
  </r>
  <r>
    <x v="448"/>
    <x v="20"/>
    <s v="Camion"/>
    <x v="6"/>
    <s v="4790-B-8"/>
    <n v="25314"/>
    <x v="107"/>
    <s v="boite vitesse "/>
    <s v="c"/>
    <x v="643"/>
    <n v="17"/>
    <n v="240"/>
    <n v="240"/>
    <x v="430"/>
    <x v="0"/>
    <m/>
    <x v="0"/>
    <x v="0"/>
  </r>
  <r>
    <x v="449"/>
    <x v="42"/>
    <m/>
    <x v="28"/>
    <n v="0"/>
    <n v="25323"/>
    <x v="21"/>
    <s v="flexible percé"/>
    <s v="c"/>
    <x v="644"/>
    <n v="173761"/>
    <n v="180"/>
    <n v="570"/>
    <x v="431"/>
    <x v="0"/>
    <m/>
    <x v="0"/>
    <x v="0"/>
  </r>
  <r>
    <x v="449"/>
    <x v="4"/>
    <s v="Camion"/>
    <x v="3"/>
    <s v="22299-A-73"/>
    <n v="25326"/>
    <x v="70"/>
    <s v="vase d'expantion"/>
    <s v="c"/>
    <x v="645"/>
    <s v="173765_x000a_173785"/>
    <n v="180"/>
    <n v="180"/>
    <x v="431"/>
    <x v="0"/>
    <m/>
    <x v="0"/>
    <x v="0"/>
  </r>
  <r>
    <x v="449"/>
    <x v="14"/>
    <s v="Balayeuse"/>
    <x v="9"/>
    <s v="-"/>
    <n v="25328"/>
    <x v="9"/>
    <s v="usure "/>
    <s v="c"/>
    <x v="646"/>
    <n v="173769"/>
    <n v="180"/>
    <n v="180"/>
    <x v="431"/>
    <x v="0"/>
    <m/>
    <x v="0"/>
    <x v="0"/>
  </r>
  <r>
    <x v="449"/>
    <x v="10"/>
    <s v="Camion"/>
    <x v="8"/>
    <s v="25636-A-13"/>
    <n v="25330"/>
    <x v="35"/>
    <s v="des lampes "/>
    <s v="c"/>
    <x v="48"/>
    <n v="173771"/>
    <n v="120"/>
    <n v="120"/>
    <x v="431"/>
    <x v="0"/>
    <m/>
    <x v="0"/>
    <x v="0"/>
  </r>
  <r>
    <x v="449"/>
    <x v="2"/>
    <s v="Chariot elevateur"/>
    <x v="2"/>
    <s v="-"/>
    <n v="25337"/>
    <x v="110"/>
    <s v="chaine de levage "/>
    <s v="c"/>
    <x v="647"/>
    <n v="174"/>
    <n v="240"/>
    <n v="240"/>
    <x v="431"/>
    <x v="0"/>
    <m/>
    <x v="0"/>
    <x v="0"/>
  </r>
  <r>
    <x v="449"/>
    <x v="10"/>
    <s v="Camion"/>
    <x v="8"/>
    <s v="25636-A-13"/>
    <n v="25344"/>
    <x v="111"/>
    <s v="bruit anormale"/>
    <s v="c"/>
    <x v="648"/>
    <s v="173772_x000a_173792_x000a_173455_x000a_174574_x000a_174882_x000a_174881"/>
    <n v="6840"/>
    <n v="14500"/>
    <x v="432"/>
    <x v="0"/>
    <m/>
    <x v="0"/>
    <x v="0"/>
  </r>
  <r>
    <x v="450"/>
    <x v="24"/>
    <s v="Voiture de fonction"/>
    <x v="0"/>
    <s v="10551-A-73"/>
    <n v="26104"/>
    <x v="19"/>
    <s v="réparation "/>
    <s v="c"/>
    <x v="649"/>
    <n v="174585"/>
    <n v="360"/>
    <n v="360"/>
    <x v="429"/>
    <x v="0"/>
    <m/>
    <x v="0"/>
    <x v="0"/>
  </r>
  <r>
    <x v="451"/>
    <x v="12"/>
    <s v="Semi remorque"/>
    <x v="3"/>
    <s v="17885-A-73 "/>
    <n v="26105"/>
    <x v="19"/>
    <s v="réparation "/>
    <s v="c"/>
    <x v="649"/>
    <n v="174586"/>
    <n v="360"/>
    <n v="360"/>
    <x v="433"/>
    <x v="0"/>
    <m/>
    <x v="0"/>
    <x v="0"/>
  </r>
  <r>
    <x v="452"/>
    <x v="7"/>
    <s v="Camion"/>
    <x v="5"/>
    <s v=" 11469-A-73"/>
    <n v="25331"/>
    <x v="0"/>
    <s v="vidange"/>
    <s v="c"/>
    <x v="650"/>
    <n v="173783"/>
    <n v="120"/>
    <n v="120"/>
    <x v="434"/>
    <x v="0"/>
    <m/>
    <x v="0"/>
    <x v="0"/>
  </r>
  <r>
    <x v="452"/>
    <x v="23"/>
    <s v="Semi remorque"/>
    <x v="6"/>
    <s v="706-A-73"/>
    <n v="25332"/>
    <x v="22"/>
    <s v="klaxon "/>
    <s v="c"/>
    <x v="367"/>
    <n v="173788"/>
    <n v="120"/>
    <n v="120"/>
    <x v="434"/>
    <x v="0"/>
    <m/>
    <x v="0"/>
    <x v="0"/>
  </r>
  <r>
    <x v="452"/>
    <x v="9"/>
    <s v="Bus de transport"/>
    <x v="7"/>
    <s v="22772-A-73"/>
    <n v="25333"/>
    <x v="11"/>
    <s v="garniture de frein "/>
    <s v="c"/>
    <x v="651"/>
    <s v="17435_x000a_173789"/>
    <n v="2280"/>
    <n v="120"/>
    <x v="416"/>
    <x v="0"/>
    <m/>
    <x v="0"/>
    <x v="0"/>
  </r>
  <r>
    <x v="453"/>
    <x v="28"/>
    <s v="Chariot elevateur"/>
    <x v="13"/>
    <s v="-"/>
    <n v="25350"/>
    <x v="57"/>
    <s v="usure "/>
    <s v="c"/>
    <x v="652"/>
    <n v="174573"/>
    <n v="1140"/>
    <n v="3420"/>
    <x v="435"/>
    <x v="0"/>
    <m/>
    <x v="0"/>
    <x v="0"/>
  </r>
  <r>
    <x v="454"/>
    <x v="9"/>
    <s v="Bus de transport"/>
    <x v="7"/>
    <s v="22772-A-73"/>
    <n v="25327"/>
    <x v="11"/>
    <s v="garniture de frein "/>
    <s v="c"/>
    <x v="653"/>
    <n v="173768"/>
    <n v="360"/>
    <n v="360"/>
    <x v="436"/>
    <x v="0"/>
    <m/>
    <x v="0"/>
    <x v="0"/>
  </r>
  <r>
    <x v="454"/>
    <x v="15"/>
    <s v="Chariot elevateur"/>
    <x v="10"/>
    <s v="-"/>
    <n v="25335"/>
    <x v="57"/>
    <s v="kit moyeu"/>
    <s v="c"/>
    <x v="654"/>
    <n v="173795"/>
    <n v="180"/>
    <n v="180"/>
    <x v="436"/>
    <x v="0"/>
    <m/>
    <x v="0"/>
    <x v="0"/>
  </r>
  <r>
    <x v="455"/>
    <x v="20"/>
    <s v="Camion"/>
    <x v="6"/>
    <s v="4790-B-8"/>
    <n v="26103"/>
    <x v="107"/>
    <s v="boite vitesse "/>
    <s v="c"/>
    <x v="655"/>
    <s v="174584_x000a_174591_x000a_174877_x000a_174879"/>
    <n v="1710"/>
    <n v="5700"/>
    <x v="437"/>
    <x v="0"/>
    <m/>
    <x v="0"/>
    <x v="0"/>
  </r>
  <r>
    <x v="456"/>
    <x v="18"/>
    <s v="Camion"/>
    <x v="5"/>
    <s v="4969-A-73 "/>
    <n v="25336"/>
    <x v="70"/>
    <s v="durite d'eau "/>
    <s v="c"/>
    <x v="656"/>
    <n v="174556"/>
    <n v="240"/>
    <n v="240"/>
    <x v="416"/>
    <x v="0"/>
    <m/>
    <x v="0"/>
    <x v="0"/>
  </r>
  <r>
    <x v="456"/>
    <x v="7"/>
    <s v="Camion"/>
    <x v="5"/>
    <s v=" 11469-A-73"/>
    <n v="25338"/>
    <x v="111"/>
    <s v="embrayage "/>
    <s v="c"/>
    <x v="657"/>
    <n v="174558"/>
    <n v="570"/>
    <n v="570"/>
    <x v="426"/>
    <x v="0"/>
    <m/>
    <x v="0"/>
    <x v="0"/>
  </r>
  <r>
    <x v="456"/>
    <x v="16"/>
    <s v="Camion"/>
    <x v="5"/>
    <s v="11470-A-73"/>
    <n v="25340"/>
    <x v="27"/>
    <s v="battrie de démarrage "/>
    <s v="c"/>
    <x v="658"/>
    <n v="174559"/>
    <n v="570"/>
    <n v="570"/>
    <x v="426"/>
    <x v="0"/>
    <m/>
    <x v="0"/>
    <x v="0"/>
  </r>
  <r>
    <x v="456"/>
    <x v="18"/>
    <s v="Camion"/>
    <x v="5"/>
    <s v="4969-A-73 "/>
    <n v="25348"/>
    <x v="11"/>
    <s v="garniture de frein "/>
    <s v="c"/>
    <x v="659"/>
    <s v="174570_x000a_174648"/>
    <n v="2850"/>
    <n v="3420"/>
    <x v="437"/>
    <x v="0"/>
    <m/>
    <x v="0"/>
    <x v="0"/>
  </r>
  <r>
    <x v="457"/>
    <x v="26"/>
    <s v="Chariot elevateur"/>
    <x v="15"/>
    <s v="-"/>
    <n v="25334"/>
    <x v="110"/>
    <s v="chaine de levage "/>
    <s v="c"/>
    <x v="660"/>
    <n v="173793"/>
    <n v="360"/>
    <n v="360"/>
    <x v="426"/>
    <x v="0"/>
    <m/>
    <x v="0"/>
    <x v="0"/>
  </r>
  <r>
    <x v="458"/>
    <x v="17"/>
    <s v="Bus de transport"/>
    <x v="11"/>
    <s v="18516-A-73"/>
    <n v="25342"/>
    <x v="10"/>
    <s v="usure "/>
    <s v="c"/>
    <x v="661"/>
    <n v="174565"/>
    <n v="570"/>
    <n v="570"/>
    <x v="438"/>
    <x v="0"/>
    <m/>
    <x v="0"/>
    <x v="0"/>
  </r>
  <r>
    <x v="458"/>
    <x v="1"/>
    <s v="Camion"/>
    <x v="1"/>
    <s v="26128-A-8"/>
    <n v="25346"/>
    <x v="10"/>
    <s v="usure "/>
    <s v="c"/>
    <x v="661"/>
    <n v="174566"/>
    <n v="570"/>
    <n v="570"/>
    <x v="435"/>
    <x v="0"/>
    <m/>
    <x v="0"/>
    <x v="0"/>
  </r>
  <r>
    <x v="458"/>
    <x v="7"/>
    <s v="Camion"/>
    <x v="5"/>
    <s v=" 11469-A-73"/>
    <n v="25347"/>
    <x v="10"/>
    <s v="usure "/>
    <s v="c"/>
    <x v="661"/>
    <n v="174567"/>
    <n v="570"/>
    <n v="570"/>
    <x v="439"/>
    <x v="0"/>
    <m/>
    <x v="0"/>
    <x v="0"/>
  </r>
  <r>
    <x v="459"/>
    <x v="22"/>
    <s v="Chariot elevateur"/>
    <x v="14"/>
    <s v="-"/>
    <n v="25349"/>
    <x v="27"/>
    <s v="contact de démarrage "/>
    <s v="c"/>
    <x v="520"/>
    <n v="1474572"/>
    <n v="120"/>
    <n v="120"/>
    <x v="435"/>
    <x v="0"/>
    <m/>
    <x v="0"/>
    <x v="0"/>
  </r>
  <r>
    <x v="459"/>
    <x v="19"/>
    <s v="Chargeur"/>
    <x v="12"/>
    <s v="-"/>
    <n v="26101"/>
    <x v="107"/>
    <s v="support cardon "/>
    <s v="c"/>
    <x v="662"/>
    <n v="174579"/>
    <n v="360"/>
    <n v="36"/>
    <x v="440"/>
    <x v="0"/>
    <m/>
    <x v="0"/>
    <x v="0"/>
  </r>
  <r>
    <x v="460"/>
    <x v="29"/>
    <s v="Chariot elevateur"/>
    <x v="16"/>
    <s v="-"/>
    <n v="26108"/>
    <x v="86"/>
    <s v="pont avant "/>
    <s v="c"/>
    <x v="663"/>
    <s v="174876_x000a_174863_x000a_174883_x000a_174436_x000a_175436_x000a_175434_x000a_175897_x000a_175588"/>
    <n v="7410"/>
    <n v="7410"/>
    <x v="441"/>
    <x v="0"/>
    <m/>
    <x v="0"/>
    <x v="0"/>
  </r>
  <r>
    <x v="461"/>
    <x v="17"/>
    <s v="Bus de transport"/>
    <x v="11"/>
    <s v="18516-A-73"/>
    <n v="26102"/>
    <x v="107"/>
    <s v="support cardon "/>
    <s v="c"/>
    <x v="664"/>
    <s v="174582_x000a_174594_x000a_174596"/>
    <n v="1140"/>
    <n v="2280"/>
    <x v="442"/>
    <x v="0"/>
    <m/>
    <x v="0"/>
    <x v="0"/>
  </r>
  <r>
    <x v="462"/>
    <x v="26"/>
    <s v="Chariot elevateur"/>
    <x v="15"/>
    <s v="-"/>
    <n v="25339"/>
    <x v="62"/>
    <s v="marche av ar"/>
    <s v="c"/>
    <x v="665"/>
    <s v="174560_x000a_174563_x000a_174560_x000a_174597_x000a_174500_x000a_174587_x000a_174562"/>
    <m/>
    <e v="#VALUE!"/>
    <x v="57"/>
    <x v="0"/>
    <m/>
    <x v="0"/>
    <x v="0"/>
  </r>
  <r>
    <x v="462"/>
    <x v="12"/>
    <s v="Semi remorque"/>
    <x v="3"/>
    <s v="17885-A-73 "/>
    <n v="25341"/>
    <x v="35"/>
    <s v="des lampes "/>
    <s v="c"/>
    <x v="123"/>
    <n v="174564"/>
    <n v="160"/>
    <n v="160"/>
    <x v="437"/>
    <x v="0"/>
    <m/>
    <x v="0"/>
    <x v="0"/>
  </r>
  <r>
    <x v="463"/>
    <x v="28"/>
    <s v="Chariot elevateur"/>
    <x v="13"/>
    <s v="-"/>
    <n v="26107"/>
    <x v="27"/>
    <s v="relais démarreur "/>
    <s v="c"/>
    <x v="666"/>
    <s v="174858_x000a_174871"/>
    <n v="360"/>
    <n v="360"/>
    <x v="443"/>
    <x v="0"/>
    <m/>
    <x v="0"/>
    <x v="0"/>
  </r>
  <r>
    <x v="464"/>
    <x v="16"/>
    <s v="Camion"/>
    <x v="5"/>
    <s v="11470-A-73"/>
    <n v="26106"/>
    <x v="27"/>
    <s v="des battries"/>
    <s v="c"/>
    <x v="667"/>
    <n v="174592"/>
    <n v="120"/>
    <n v="120"/>
    <x v="442"/>
    <x v="0"/>
    <m/>
    <x v="0"/>
    <x v="0"/>
  </r>
  <r>
    <x v="465"/>
    <x v="5"/>
    <s v="Semi remorque"/>
    <x v="3"/>
    <s v="70352-A-6"/>
    <n v="26112"/>
    <x v="27"/>
    <s v="démarreur"/>
    <s v="c"/>
    <x v="668"/>
    <n v="174870"/>
    <n v="1140"/>
    <n v="2280"/>
    <x v="444"/>
    <x v="0"/>
    <m/>
    <x v="0"/>
    <x v="0"/>
  </r>
  <r>
    <x v="465"/>
    <x v="17"/>
    <s v="Bus de transport"/>
    <x v="11"/>
    <s v="18516-A-73"/>
    <n v="26113"/>
    <x v="35"/>
    <s v="des lampes "/>
    <s v="c"/>
    <x v="669"/>
    <s v="174872_x000a_174875"/>
    <n v="120"/>
    <n v="120"/>
    <x v="444"/>
    <x v="0"/>
    <m/>
    <x v="0"/>
    <x v="0"/>
  </r>
  <r>
    <x v="465"/>
    <x v="22"/>
    <s v="Chariot elevateur"/>
    <x v="14"/>
    <s v="-"/>
    <n v="26120"/>
    <x v="62"/>
    <s v="reparation du prbleme marche av ar"/>
    <s v="c"/>
    <x v="670"/>
    <s v="175402_x000a_175410_x000a_175418"/>
    <n v="3420"/>
    <n v="9600"/>
    <x v="445"/>
    <x v="0"/>
    <m/>
    <x v="0"/>
    <x v="0"/>
  </r>
  <r>
    <x v="466"/>
    <x v="8"/>
    <s v="Semi remorque"/>
    <x v="6"/>
    <s v="28659-D-1 "/>
    <n v="26109"/>
    <x v="35"/>
    <s v="des lampes "/>
    <s v="c"/>
    <x v="671"/>
    <n v="174864"/>
    <n v="180"/>
    <n v="180"/>
    <x v="443"/>
    <x v="0"/>
    <m/>
    <x v="0"/>
    <x v="0"/>
  </r>
  <r>
    <x v="467"/>
    <x v="13"/>
    <s v="Camion"/>
    <x v="5"/>
    <s v="4703-A-73"/>
    <n v="26110"/>
    <x v="31"/>
    <s v="durite d'eau "/>
    <s v="c"/>
    <x v="672"/>
    <n v="174865"/>
    <n v="180"/>
    <n v="180"/>
    <x v="446"/>
    <x v="0"/>
    <m/>
    <x v="0"/>
    <x v="0"/>
  </r>
  <r>
    <x v="467"/>
    <x v="33"/>
    <s v="Chariot elevateur"/>
    <x v="18"/>
    <s v="-"/>
    <n v="26111"/>
    <x v="0"/>
    <s v="vidange"/>
    <s v="c"/>
    <x v="673"/>
    <n v="174867"/>
    <n v="120"/>
    <n v="120"/>
    <x v="446"/>
    <x v="0"/>
    <m/>
    <x v="0"/>
    <x v="0"/>
  </r>
  <r>
    <x v="468"/>
    <x v="4"/>
    <s v="Camion"/>
    <x v="3"/>
    <s v="22299-A-73"/>
    <n v="26114"/>
    <x v="0"/>
    <s v="vidange"/>
    <s v="P"/>
    <x v="674"/>
    <n v="174873"/>
    <n v="120"/>
    <n v="120"/>
    <x v="444"/>
    <x v="0"/>
    <m/>
    <x v="0"/>
    <x v="0"/>
  </r>
  <r>
    <x v="468"/>
    <x v="8"/>
    <s v="Semi remorque"/>
    <x v="6"/>
    <s v="28659-D-1 "/>
    <n v="24115"/>
    <x v="0"/>
    <s v="vidange"/>
    <s v="P"/>
    <x v="675"/>
    <n v="174874"/>
    <n v="120"/>
    <n v="120"/>
    <x v="444"/>
    <x v="0"/>
    <m/>
    <x v="0"/>
    <x v="0"/>
  </r>
  <r>
    <x v="469"/>
    <x v="7"/>
    <s v="Camion"/>
    <x v="5"/>
    <s v=" 11469-A-73"/>
    <n v="24116"/>
    <x v="112"/>
    <s v="réfrigarant moteur "/>
    <s v="c"/>
    <x v="676"/>
    <n v="174898"/>
    <n v="570"/>
    <n v="570"/>
    <x v="447"/>
    <x v="0"/>
    <m/>
    <x v="0"/>
    <x v="0"/>
  </r>
  <r>
    <x v="470"/>
    <x v="12"/>
    <s v="Semi remorque"/>
    <x v="3"/>
    <s v="17885-A-73 "/>
    <n v="26117"/>
    <x v="113"/>
    <s v="jeu des tondeur "/>
    <s v="c"/>
    <x v="677"/>
    <s v="174880_x000a_175406_x000a_175408"/>
    <n v="360"/>
    <n v="360"/>
    <x v="448"/>
    <x v="0"/>
    <m/>
    <x v="0"/>
    <x v="0"/>
  </r>
  <r>
    <x v="470"/>
    <x v="23"/>
    <s v="Semi remorque"/>
    <x v="6"/>
    <s v="706-A-73"/>
    <n v="26118"/>
    <x v="0"/>
    <s v="vidange"/>
    <s v="P"/>
    <x v="678"/>
    <n v="174891"/>
    <n v="240"/>
    <n v="240"/>
    <x v="448"/>
    <x v="0"/>
    <m/>
    <x v="0"/>
    <x v="0"/>
  </r>
  <r>
    <x v="470"/>
    <x v="42"/>
    <s v="Chariot elevateur"/>
    <x v="28"/>
    <n v="0"/>
    <n v="26119"/>
    <x v="114"/>
    <s v="flexible percé"/>
    <s v="c"/>
    <x v="679"/>
    <n v="174894"/>
    <n v="240"/>
    <n v="240"/>
    <x v="448"/>
    <x v="0"/>
    <m/>
    <x v="0"/>
    <x v="0"/>
  </r>
  <r>
    <x v="471"/>
    <x v="24"/>
    <s v="Voiture de fonction"/>
    <x v="0"/>
    <s v="10551-A-73"/>
    <n v="26088"/>
    <x v="0"/>
    <s v="vidange"/>
    <s v="P"/>
    <x v="680"/>
    <m/>
    <m/>
    <s v=""/>
    <x v="449"/>
    <x v="0"/>
    <m/>
    <x v="0"/>
    <x v="0"/>
  </r>
  <r>
    <x v="472"/>
    <x v="10"/>
    <s v="Camion"/>
    <x v="8"/>
    <s v="25636-A-13"/>
    <n v="26124"/>
    <x v="80"/>
    <s v="pompe d'hule moteur"/>
    <s v="c"/>
    <x v="681"/>
    <m/>
    <n v="2280"/>
    <n v="5700"/>
    <x v="450"/>
    <x v="0"/>
    <m/>
    <x v="0"/>
    <x v="0"/>
  </r>
  <r>
    <x v="473"/>
    <x v="16"/>
    <s v="Camion"/>
    <x v="5"/>
    <s v="11470-A-73"/>
    <n v="26089"/>
    <x v="0"/>
    <s v="vidange"/>
    <s v="P"/>
    <x v="682"/>
    <n v="175078"/>
    <n v="120"/>
    <n v="120"/>
    <x v="451"/>
    <x v="0"/>
    <m/>
    <x v="0"/>
    <x v="0"/>
  </r>
  <r>
    <x v="473"/>
    <x v="3"/>
    <s v="Camion"/>
    <x v="3"/>
    <s v="22300-A-73"/>
    <n v="26091"/>
    <x v="9"/>
    <s v="usure "/>
    <s v="c"/>
    <x v="683"/>
    <n v="175085"/>
    <n v="120"/>
    <n v="120"/>
    <x v="451"/>
    <x v="0"/>
    <m/>
    <x v="0"/>
    <x v="0"/>
  </r>
  <r>
    <x v="474"/>
    <x v="20"/>
    <s v="Camion"/>
    <x v="6"/>
    <s v="4790-B-8"/>
    <n v="26092"/>
    <x v="9"/>
    <s v="usure "/>
    <s v="c"/>
    <x v="684"/>
    <n v="175091"/>
    <n v="120"/>
    <n v="120"/>
    <x v="452"/>
    <x v="0"/>
    <m/>
    <x v="0"/>
    <x v="0"/>
  </r>
  <r>
    <x v="474"/>
    <x v="18"/>
    <s v="Camion"/>
    <x v="5"/>
    <s v="4969-A-73 "/>
    <n v="26093"/>
    <x v="27"/>
    <s v="battrie de démarrage "/>
    <s v="c"/>
    <x v="685"/>
    <n v="175093"/>
    <n v="180"/>
    <n v="180"/>
    <x v="452"/>
    <x v="0"/>
    <m/>
    <x v="0"/>
    <x v="0"/>
  </r>
  <r>
    <x v="475"/>
    <x v="23"/>
    <s v="Semi remorque"/>
    <x v="6"/>
    <s v="706-A-73"/>
    <n v="26121"/>
    <x v="28"/>
    <s v="tuyau d'air"/>
    <s v="c"/>
    <x v="686"/>
    <n v="175408"/>
    <n v="180"/>
    <n v="180"/>
    <x v="453"/>
    <x v="0"/>
    <m/>
    <x v="0"/>
    <x v="0"/>
  </r>
  <r>
    <x v="475"/>
    <x v="15"/>
    <s v="Chariot elevateur"/>
    <x v="10"/>
    <s v="-"/>
    <n v="26123"/>
    <x v="57"/>
    <s v="kit moyeu de roue "/>
    <s v="c"/>
    <x v="687"/>
    <s v="175407_x000a_175405"/>
    <n v="240"/>
    <n v="240"/>
    <x v="453"/>
    <x v="0"/>
    <m/>
    <x v="0"/>
    <x v="0"/>
  </r>
  <r>
    <x v="476"/>
    <x v="16"/>
    <s v="Camion"/>
    <x v="5"/>
    <s v="11470-A-73"/>
    <n v="26126"/>
    <x v="11"/>
    <s v="plaquette de frein "/>
    <s v="c"/>
    <x v="268"/>
    <n v="175414"/>
    <n v="570"/>
    <n v="570"/>
    <x v="454"/>
    <x v="0"/>
    <m/>
    <x v="0"/>
    <x v="0"/>
  </r>
  <r>
    <x v="477"/>
    <x v="16"/>
    <s v="Camion"/>
    <x v="5"/>
    <s v="11470-A-73"/>
    <n v="26125"/>
    <x v="35"/>
    <s v="des lampes "/>
    <s v="c"/>
    <x v="688"/>
    <n v="175412"/>
    <n v="120"/>
    <n v="120"/>
    <x v="455"/>
    <x v="0"/>
    <m/>
    <x v="0"/>
    <x v="0"/>
  </r>
  <r>
    <x v="478"/>
    <x v="5"/>
    <s v="Semi remorque"/>
    <x v="3"/>
    <s v="70352-A-6"/>
    <n v="26127"/>
    <x v="28"/>
    <s v="flexible percé"/>
    <s v="c"/>
    <x v="689"/>
    <n v="175423"/>
    <n v="570"/>
    <n v="570"/>
    <x v="456"/>
    <x v="0"/>
    <m/>
    <x v="0"/>
    <x v="0"/>
  </r>
  <r>
    <x v="479"/>
    <x v="28"/>
    <s v="Chariot elevateur"/>
    <x v="13"/>
    <s v="-"/>
    <n v="26128"/>
    <x v="0"/>
    <s v="vidange"/>
    <s v="P"/>
    <x v="690"/>
    <n v="175426"/>
    <n v="120"/>
    <n v="120"/>
    <x v="457"/>
    <x v="0"/>
    <m/>
    <x v="0"/>
    <x v="0"/>
  </r>
  <r>
    <x v="480"/>
    <x v="42"/>
    <s v="Chariot elevateur"/>
    <x v="28"/>
    <n v="0"/>
    <n v="26905"/>
    <x v="115"/>
    <s v="ususre du moteur hydraulique"/>
    <s v="c"/>
    <x v="691"/>
    <n v="178328"/>
    <n v="4222"/>
    <n v="4222"/>
    <x v="458"/>
    <x v="0"/>
    <m/>
    <x v="0"/>
    <x v="0"/>
  </r>
  <r>
    <x v="481"/>
    <x v="18"/>
    <s v="Camion"/>
    <x v="5"/>
    <s v="4969-A-73 "/>
    <n v="26129"/>
    <x v="35"/>
    <s v="des lampes "/>
    <s v="c"/>
    <x v="135"/>
    <n v="175438"/>
    <n v="120"/>
    <n v="120"/>
    <x v="459"/>
    <x v="0"/>
    <m/>
    <x v="0"/>
    <x v="0"/>
  </r>
  <r>
    <x v="482"/>
    <x v="10"/>
    <s v="Camion"/>
    <x v="8"/>
    <s v="25636-A-13"/>
    <n v="26130"/>
    <x v="116"/>
    <s v="flexible percé"/>
    <s v="c"/>
    <x v="692"/>
    <n v="175444"/>
    <n v="1140"/>
    <n v="1140"/>
    <x v="460"/>
    <x v="0"/>
    <m/>
    <x v="0"/>
    <x v="0"/>
  </r>
  <r>
    <x v="482"/>
    <x v="28"/>
    <s v="Chariot elevateur"/>
    <x v="13"/>
    <s v="-"/>
    <n v="26131"/>
    <x v="35"/>
    <s v="des lampes "/>
    <s v="c"/>
    <x v="56"/>
    <n v="175445"/>
    <n v="120"/>
    <n v="120"/>
    <x v="461"/>
    <x v="0"/>
    <m/>
    <x v="0"/>
    <x v="0"/>
  </r>
  <r>
    <x v="483"/>
    <x v="5"/>
    <s v="Semi remorque"/>
    <x v="3"/>
    <s v="70352-A-6"/>
    <n v="26132"/>
    <x v="31"/>
    <s v="pipe d'eau "/>
    <s v="c"/>
    <x v="693"/>
    <n v="176205"/>
    <n v="11400"/>
    <n v="11400"/>
    <x v="462"/>
    <x v="0"/>
    <m/>
    <x v="0"/>
    <x v="0"/>
  </r>
  <r>
    <x v="483"/>
    <x v="7"/>
    <s v="Camion"/>
    <x v="5"/>
    <s v=" 11469-A-73"/>
    <n v="26133"/>
    <x v="11"/>
    <s v="garniture de frein "/>
    <s v="c"/>
    <x v="694"/>
    <s v="175415_x000a_175421_x000a_175437_x000a_175437_x000a_175440_x000a_175442"/>
    <n v="2280"/>
    <n v="5130"/>
    <x v="461"/>
    <x v="0"/>
    <m/>
    <x v="0"/>
    <x v="0"/>
  </r>
  <r>
    <x v="483"/>
    <x v="39"/>
    <s v="Chargeur"/>
    <x v="12"/>
    <s v="-"/>
    <n v="26135"/>
    <x v="117"/>
    <s v="melange du gasoil avec liquide de refroidissement "/>
    <s v="c"/>
    <x v="695"/>
    <n v="175"/>
    <n v="5700"/>
    <n v="5700"/>
    <x v="463"/>
    <x v="0"/>
    <m/>
    <x v="0"/>
    <x v="0"/>
  </r>
  <r>
    <x v="484"/>
    <x v="2"/>
    <s v="Chariot elevateur"/>
    <x v="2"/>
    <s v="-"/>
    <n v="26138"/>
    <x v="0"/>
    <s v="mise a niveau"/>
    <s v="P"/>
    <x v="696"/>
    <n v="176211"/>
    <n v="30"/>
    <n v="30"/>
    <x v="464"/>
    <x v="0"/>
    <m/>
    <x v="0"/>
    <x v="0"/>
  </r>
  <r>
    <x v="484"/>
    <x v="1"/>
    <s v="Camion"/>
    <x v="1"/>
    <s v="26128-A-8"/>
    <n v="26139"/>
    <x v="35"/>
    <s v="des lampes "/>
    <s v="c"/>
    <x v="135"/>
    <n v="176214"/>
    <n v="60"/>
    <n v="60"/>
    <x v="464"/>
    <x v="0"/>
    <m/>
    <x v="0"/>
    <x v="0"/>
  </r>
  <r>
    <x v="485"/>
    <x v="16"/>
    <s v="Camion"/>
    <x v="5"/>
    <s v="11470-A-73"/>
    <n v="26140"/>
    <x v="35"/>
    <s v="des lampes "/>
    <s v="c"/>
    <x v="697"/>
    <n v="176215"/>
    <n v="120"/>
    <n v="120"/>
    <x v="465"/>
    <x v="0"/>
    <m/>
    <x v="0"/>
    <x v="0"/>
  </r>
  <r>
    <x v="485"/>
    <x v="17"/>
    <s v="Bus de transport"/>
    <x v="11"/>
    <s v="18516-A-73"/>
    <n v="26141"/>
    <x v="9"/>
    <s v="usure "/>
    <s v="c"/>
    <x v="698"/>
    <n v="176218"/>
    <n v="120"/>
    <n v="120"/>
    <x v="465"/>
    <x v="0"/>
    <m/>
    <x v="0"/>
    <x v="0"/>
  </r>
  <r>
    <x v="486"/>
    <x v="22"/>
    <s v="Chariot elevateur"/>
    <x v="14"/>
    <s v="-"/>
    <n v="26137"/>
    <x v="62"/>
    <s v="marche av ar"/>
    <s v="c"/>
    <x v="699"/>
    <m/>
    <n v="14820"/>
    <n v="14820"/>
    <x v="466"/>
    <x v="0"/>
    <m/>
    <x v="0"/>
    <x v="0"/>
  </r>
  <r>
    <x v="486"/>
    <x v="1"/>
    <s v="Camion"/>
    <x v="1"/>
    <s v="26128-A-8"/>
    <n v="26146"/>
    <x v="11"/>
    <s v="garniture de fein "/>
    <s v=" "/>
    <x v="700"/>
    <s v="177054_x000a_177058_x000a_177060_x000a_177061_x000a_177077_x000a_177079_x000a_178330"/>
    <n v="3400"/>
    <n v="5700"/>
    <x v="467"/>
    <x v="0"/>
    <m/>
    <x v="0"/>
    <x v="0"/>
  </r>
  <r>
    <x v="487"/>
    <x v="8"/>
    <s v="Semi remorque"/>
    <x v="6"/>
    <s v="28659-D-1 "/>
    <n v="26142"/>
    <x v="118"/>
    <s v="moyeu de roue "/>
    <s v="c"/>
    <x v="701"/>
    <n v="176241"/>
    <n v="180"/>
    <n v="180"/>
    <x v="468"/>
    <x v="0"/>
    <m/>
    <x v="0"/>
    <x v="0"/>
  </r>
  <r>
    <x v="488"/>
    <x v="17"/>
    <s v="Bus de transport"/>
    <x v="11"/>
    <s v="18516-A-73"/>
    <n v="26143"/>
    <x v="35"/>
    <s v="des lampes "/>
    <s v="c"/>
    <x v="148"/>
    <n v="176247"/>
    <n v="60"/>
    <n v="60"/>
    <x v="469"/>
    <x v="0"/>
    <m/>
    <x v="0"/>
    <x v="0"/>
  </r>
  <r>
    <x v="488"/>
    <x v="0"/>
    <s v="Voiture de fonction"/>
    <x v="0"/>
    <s v="981-A-73"/>
    <n v="26144"/>
    <x v="119"/>
    <s v="tondeur endommagé"/>
    <s v="c"/>
    <x v="702"/>
    <n v="176248"/>
    <n v="960"/>
    <n v="0"/>
    <x v="469"/>
    <x v="0"/>
    <m/>
    <x v="0"/>
    <x v="0"/>
  </r>
  <r>
    <x v="488"/>
    <x v="26"/>
    <s v="Chariot elevateur"/>
    <x v="15"/>
    <s v="-"/>
    <m/>
    <x v="41"/>
    <m/>
    <m/>
    <x v="703"/>
    <m/>
    <m/>
    <n v="14820"/>
    <x v="470"/>
    <x v="0"/>
    <m/>
    <x v="0"/>
    <x v="0"/>
  </r>
  <r>
    <x v="488"/>
    <x v="19"/>
    <s v="Chargeur"/>
    <x v="12"/>
    <s v="-"/>
    <m/>
    <x v="120"/>
    <s v="vidange"/>
    <s v="P"/>
    <x v="704"/>
    <s v="164553_x000a_164559_x000a_164568_x000a_164568_x000a_164571_x000a_164574"/>
    <n v="60"/>
    <n v="60"/>
    <x v="469"/>
    <x v="0"/>
    <m/>
    <x v="0"/>
    <x v="0"/>
  </r>
  <r>
    <x v="489"/>
    <x v="22"/>
    <s v="Chariot elevateur"/>
    <x v="14"/>
    <s v="-"/>
    <n v="26147"/>
    <x v="121"/>
    <s v="tondeur endommagé"/>
    <s v="c"/>
    <x v="705"/>
    <n v="177055"/>
    <n v="360"/>
    <n v="360"/>
    <x v="471"/>
    <x v="0"/>
    <m/>
    <x v="0"/>
    <x v="0"/>
  </r>
  <r>
    <x v="489"/>
    <x v="39"/>
    <s v="Chargeur"/>
    <x v="12"/>
    <s v="-"/>
    <n v="26079"/>
    <x v="80"/>
    <s v="melange eau gasoil"/>
    <s v="c"/>
    <x v="706"/>
    <s v="177084_x000a_177689_x000a_177311"/>
    <n v="14820"/>
    <n v="14820"/>
    <x v="472"/>
    <x v="0"/>
    <m/>
    <x v="0"/>
    <x v="0"/>
  </r>
  <r>
    <x v="490"/>
    <x v="2"/>
    <s v="Chariot elevateur"/>
    <x v="2"/>
    <s v="-"/>
    <n v="26148"/>
    <x v="21"/>
    <s v="flexible percé"/>
    <s v="c"/>
    <x v="707"/>
    <n v="177059"/>
    <n v="120"/>
    <n v="120"/>
    <x v="473"/>
    <x v="0"/>
    <m/>
    <x v="0"/>
    <x v="0"/>
  </r>
  <r>
    <x v="491"/>
    <x v="8"/>
    <s v="Semi remorque"/>
    <x v="6"/>
    <s v="28659-D-1 "/>
    <n v="26149"/>
    <x v="35"/>
    <s v="des lampes "/>
    <s v="c"/>
    <x v="708"/>
    <n v="177062"/>
    <n v="120"/>
    <n v="120"/>
    <x v="474"/>
    <x v="0"/>
    <m/>
    <x v="0"/>
    <x v="0"/>
  </r>
  <r>
    <x v="492"/>
    <x v="9"/>
    <s v="Bus de transport"/>
    <x v="7"/>
    <s v="22772-A-73"/>
    <n v="26150"/>
    <x v="7"/>
    <s v="pompe d'embrayage "/>
    <s v="c"/>
    <x v="709"/>
    <n v="177064"/>
    <n v="1140"/>
    <n v="1140"/>
    <x v="475"/>
    <x v="0"/>
    <m/>
    <x v="0"/>
    <x v="0"/>
  </r>
  <r>
    <x v="492"/>
    <x v="11"/>
    <s v="Semi remorque"/>
    <x v="3"/>
    <s v="17886-A-73 "/>
    <n v="26051"/>
    <x v="0"/>
    <s v="vidange"/>
    <s v="c"/>
    <x v="710"/>
    <n v="177067"/>
    <n v="360"/>
    <n v="360"/>
    <x v="476"/>
    <x v="0"/>
    <m/>
    <x v="0"/>
    <x v="0"/>
  </r>
  <r>
    <x v="493"/>
    <x v="8"/>
    <s v="Semi remorque"/>
    <x v="6"/>
    <s v="28659-D-1 "/>
    <n v="26052"/>
    <x v="16"/>
    <s v="usure "/>
    <s v="c"/>
    <x v="711"/>
    <n v="177073"/>
    <n v="570"/>
    <n v="570"/>
    <x v="475"/>
    <x v="0"/>
    <m/>
    <x v="0"/>
    <x v="0"/>
  </r>
  <r>
    <x v="494"/>
    <x v="3"/>
    <s v="Camion"/>
    <x v="3"/>
    <s v="22300-A-73"/>
    <n v="26053"/>
    <x v="35"/>
    <s v="des lampes "/>
    <s v="c"/>
    <x v="712"/>
    <n v="177078"/>
    <n v="120"/>
    <n v="120"/>
    <x v="477"/>
    <x v="0"/>
    <m/>
    <x v="0"/>
    <x v="0"/>
  </r>
  <r>
    <x v="495"/>
    <x v="20"/>
    <s v="Camion"/>
    <x v="6"/>
    <s v="4790-B-8"/>
    <n v="26136"/>
    <x v="122"/>
    <s v="moyeu de roue "/>
    <s v="c"/>
    <x v="713"/>
    <m/>
    <m/>
    <s v=""/>
    <x v="478"/>
    <x v="0"/>
    <m/>
    <x v="0"/>
    <x v="0"/>
  </r>
  <r>
    <x v="495"/>
    <x v="5"/>
    <s v="Semi remorque"/>
    <x v="3"/>
    <s v="70352-A-6"/>
    <n v="26058"/>
    <x v="123"/>
    <s v="pourriture _x000a_temperature "/>
    <s v="c"/>
    <x v="714"/>
    <s v="177432_x000a_177429_x000a_177408_x000a_177412_x000a_177688_x000a_177672"/>
    <n v="14800"/>
    <n v="14800"/>
    <x v="479"/>
    <x v="0"/>
    <m/>
    <x v="0"/>
    <x v="0"/>
  </r>
  <r>
    <x v="496"/>
    <x v="17"/>
    <s v="Bus de transport"/>
    <x v="11"/>
    <s v="18516-A-73"/>
    <n v="26054"/>
    <x v="10"/>
    <s v="amortisseur "/>
    <s v="c"/>
    <x v="715"/>
    <n v="177083"/>
    <n v="360"/>
    <n v="360"/>
    <x v="480"/>
    <x v="0"/>
    <m/>
    <x v="0"/>
    <x v="0"/>
  </r>
  <r>
    <x v="496"/>
    <x v="12"/>
    <s v="Semi remorque"/>
    <x v="3"/>
    <s v="17885-A-73 "/>
    <n v="26055"/>
    <x v="35"/>
    <s v="des lampes "/>
    <s v="c"/>
    <x v="558"/>
    <n v="177087"/>
    <n v="240"/>
    <n v="240"/>
    <x v="480"/>
    <x v="0"/>
    <m/>
    <x v="0"/>
    <x v="0"/>
  </r>
  <r>
    <x v="497"/>
    <x v="23"/>
    <s v="Semi remorque"/>
    <x v="6"/>
    <s v="706-A-73"/>
    <n v="26056"/>
    <x v="28"/>
    <s v="flexible percé"/>
    <s v="c"/>
    <x v="716"/>
    <n v="177091"/>
    <n v="240"/>
    <n v="240"/>
    <x v="478"/>
    <x v="0"/>
    <m/>
    <x v="0"/>
    <x v="0"/>
  </r>
  <r>
    <x v="497"/>
    <x v="5"/>
    <s v="Semi remorque"/>
    <x v="3"/>
    <s v="70352-A-6"/>
    <n v="26904"/>
    <x v="123"/>
    <s v="poriiture du cabine "/>
    <s v="c"/>
    <x v="717"/>
    <n v="178327"/>
    <n v="11400"/>
    <n v="11400"/>
    <x v="481"/>
    <x v="0"/>
    <m/>
    <x v="0"/>
    <x v="0"/>
  </r>
  <r>
    <x v="498"/>
    <x v="2"/>
    <s v="Chariot elevateur"/>
    <x v="2"/>
    <s v="-"/>
    <n v="26057"/>
    <x v="124"/>
    <s v="crdon levier "/>
    <m/>
    <x v="718"/>
    <s v="177406_x000a_177421"/>
    <n v="360"/>
    <n v="360"/>
    <x v="482"/>
    <x v="0"/>
    <m/>
    <x v="0"/>
    <x v="0"/>
  </r>
  <r>
    <x v="499"/>
    <x v="0"/>
    <n v="171"/>
    <x v="0"/>
    <s v="981-A-73"/>
    <n v="26059"/>
    <x v="35"/>
    <s v="des lampes "/>
    <s v="c"/>
    <x v="135"/>
    <n v="177413"/>
    <n v="120"/>
    <n v="120"/>
    <x v="483"/>
    <x v="0"/>
    <m/>
    <x v="0"/>
    <x v="0"/>
  </r>
  <r>
    <x v="500"/>
    <x v="3"/>
    <s v="Camion"/>
    <x v="3"/>
    <s v="22300-A-73"/>
    <n v="26060"/>
    <x v="125"/>
    <s v="courroie"/>
    <s v="c"/>
    <x v="719"/>
    <n v="177420"/>
    <n v="570"/>
    <n v="570"/>
    <x v="484"/>
    <x v="0"/>
    <m/>
    <x v="0"/>
    <x v="0"/>
  </r>
  <r>
    <x v="501"/>
    <x v="13"/>
    <s v="Camion"/>
    <x v="5"/>
    <s v="4703-A-73"/>
    <n v="26068"/>
    <x v="80"/>
    <s v="temperature d'huile moteur "/>
    <s v="c"/>
    <x v="720"/>
    <s v="177466_x000a_177408_x000a_177448_x000a_177664_x000a_177682_x000a_177689_x000a_177693_x000a_177301_x000a_177305_x000a_178308"/>
    <n v="5700"/>
    <n v="11455"/>
    <x v="485"/>
    <x v="0"/>
    <m/>
    <x v="0"/>
    <x v="0"/>
  </r>
  <r>
    <x v="502"/>
    <x v="28"/>
    <s v="Chariot elevateur"/>
    <x v="13"/>
    <s v="-"/>
    <n v="26061"/>
    <x v="0"/>
    <s v="vidange"/>
    <s v="c"/>
    <x v="721"/>
    <n v="177426"/>
    <n v="120"/>
    <n v="120"/>
    <x v="486"/>
    <x v="0"/>
    <m/>
    <x v="0"/>
    <x v="0"/>
  </r>
  <r>
    <x v="502"/>
    <x v="12"/>
    <s v="Semi remorque"/>
    <x v="3"/>
    <s v="17885-A-73 "/>
    <n v="26062"/>
    <x v="0"/>
    <s v="vidange"/>
    <s v="c"/>
    <x v="722"/>
    <s v="177424_x000a_177425"/>
    <n v="360"/>
    <n v="360"/>
    <x v="487"/>
    <x v="0"/>
    <m/>
    <x v="0"/>
    <x v="0"/>
  </r>
  <r>
    <x v="502"/>
    <x v="18"/>
    <s v="Camion"/>
    <x v="5"/>
    <s v="4969-A-73 "/>
    <n v="26065"/>
    <x v="47"/>
    <s v="des fuites d'huile"/>
    <m/>
    <x v="723"/>
    <s v="177661_x000a_177443_x000a_177442_x000a_177661"/>
    <n v="3420"/>
    <n v="3450"/>
    <x v="488"/>
    <x v="0"/>
    <m/>
    <x v="0"/>
    <x v="0"/>
  </r>
  <r>
    <x v="502"/>
    <x v="7"/>
    <s v="Camion"/>
    <x v="5"/>
    <s v=" 11469-A-73"/>
    <n v="26066"/>
    <x v="0"/>
    <s v="vidange"/>
    <s v="c"/>
    <x v="724"/>
    <n v="177435"/>
    <n v="120"/>
    <n v="120"/>
    <x v="489"/>
    <x v="0"/>
    <m/>
    <x v="0"/>
    <x v="0"/>
  </r>
  <r>
    <x v="503"/>
    <x v="9"/>
    <s v="Bus de transport"/>
    <x v="7"/>
    <s v="22772-A-73"/>
    <n v="26145"/>
    <x v="106"/>
    <s v="vitre laterale "/>
    <s v="c"/>
    <x v="725"/>
    <n v="177052"/>
    <n v="180"/>
    <n v="180"/>
    <x v="486"/>
    <x v="0"/>
    <m/>
    <x v="0"/>
    <x v="0"/>
  </r>
  <r>
    <x v="503"/>
    <x v="29"/>
    <s v="Chariot elevateur"/>
    <x v="16"/>
    <s v="-"/>
    <n v="26063"/>
    <x v="117"/>
    <s v="joint culasse "/>
    <s v="c"/>
    <x v="726"/>
    <s v="177426_x000a_177430_x000a_177440_x000a_177671_x000a_177676"/>
    <n v="5700"/>
    <n v="5700"/>
    <x v="490"/>
    <x v="0"/>
    <m/>
    <x v="0"/>
    <x v="0"/>
  </r>
  <r>
    <x v="503"/>
    <x v="4"/>
    <s v="Camion"/>
    <x v="3"/>
    <s v="22299-A-73"/>
    <n v="26064"/>
    <x v="10"/>
    <s v="amortisseur "/>
    <s v="c"/>
    <x v="727"/>
    <n v="177431"/>
    <n v="180"/>
    <n v="180"/>
    <x v="486"/>
    <x v="0"/>
    <m/>
    <x v="0"/>
    <x v="0"/>
  </r>
  <r>
    <x v="504"/>
    <x v="20"/>
    <s v="Camion"/>
    <x v="6"/>
    <s v="4790-B-8"/>
    <n v="26069"/>
    <x v="126"/>
    <s v="solinoide d'arrét moteur "/>
    <s v="c"/>
    <x v="224"/>
    <n v="177449"/>
    <n v="180"/>
    <n v="180"/>
    <x v="470"/>
    <x v="0"/>
    <m/>
    <x v="0"/>
    <x v="0"/>
  </r>
  <r>
    <x v="504"/>
    <x v="0"/>
    <s v="Voiture de fonction"/>
    <x v="0"/>
    <s v="981-A-73"/>
    <n v="26070"/>
    <x v="80"/>
    <s v="courroie"/>
    <s v="c"/>
    <x v="728"/>
    <n v="177653"/>
    <n v="1140"/>
    <n v="1140"/>
    <x v="458"/>
    <x v="0"/>
    <m/>
    <x v="0"/>
    <x v="0"/>
  </r>
  <r>
    <x v="505"/>
    <x v="3"/>
    <s v="Camion"/>
    <x v="3"/>
    <s v="22300-A-73"/>
    <n v="26073"/>
    <x v="28"/>
    <s v="durite d'air "/>
    <s v="c"/>
    <x v="729"/>
    <s v="177658_x000a_177675"/>
    <n v="180"/>
    <n v="180"/>
    <x v="458"/>
    <x v="0"/>
    <m/>
    <x v="0"/>
    <x v="0"/>
  </r>
  <r>
    <x v="505"/>
    <x v="14"/>
    <s v="Balayeuse"/>
    <x v="9"/>
    <s v="-"/>
    <n v="26090"/>
    <x v="76"/>
    <s v="godet de balayage "/>
    <s v="c"/>
    <x v="730"/>
    <n v="177660"/>
    <n v="11440"/>
    <n v="11440"/>
    <x v="491"/>
    <x v="0"/>
    <m/>
    <x v="0"/>
    <x v="0"/>
  </r>
  <r>
    <x v="505"/>
    <x v="26"/>
    <s v="Chariot elevateur"/>
    <x v="15"/>
    <s v="-"/>
    <m/>
    <x v="41"/>
    <m/>
    <m/>
    <x v="703"/>
    <m/>
    <m/>
    <n v="14820"/>
    <x v="492"/>
    <x v="0"/>
    <m/>
    <x v="0"/>
    <x v="0"/>
  </r>
  <r>
    <x v="506"/>
    <x v="9"/>
    <s v="Bus de transport"/>
    <x v="7"/>
    <s v="22772-A-73"/>
    <n v="26074"/>
    <x v="25"/>
    <s v="peinture "/>
    <s v="c"/>
    <x v="731"/>
    <n v="177662"/>
    <n v="1140"/>
    <n v="1140"/>
    <x v="490"/>
    <x v="0"/>
    <m/>
    <x v="0"/>
    <x v="0"/>
  </r>
  <r>
    <x v="506"/>
    <x v="11"/>
    <s v="Semi remorque"/>
    <x v="3"/>
    <s v="17886-A-73 "/>
    <n v="26081"/>
    <x v="27"/>
    <s v="battrie de démarrage "/>
    <s v="c"/>
    <x v="732"/>
    <n v="177667"/>
    <n v="180"/>
    <n v="180"/>
    <x v="493"/>
    <x v="0"/>
    <m/>
    <x v="0"/>
    <x v="0"/>
  </r>
  <r>
    <x v="507"/>
    <x v="8"/>
    <s v="Semi remorque"/>
    <x v="6"/>
    <s v="28659-D-1 "/>
    <n v="26072"/>
    <x v="127"/>
    <s v="fixation roue"/>
    <s v="c"/>
    <x v="733"/>
    <s v="177683_x000a_177565_x000a_177674"/>
    <n v="1710"/>
    <n v="1710"/>
    <x v="490"/>
    <x v="0"/>
    <m/>
    <x v="0"/>
    <x v="0"/>
  </r>
  <r>
    <x v="508"/>
    <x v="16"/>
    <s v="Camion"/>
    <x v="5"/>
    <s v="11470-A-73"/>
    <n v="26080"/>
    <x v="107"/>
    <s v="support cardon "/>
    <s v="c"/>
    <x v="734"/>
    <n v="177665"/>
    <n v="570"/>
    <n v="570"/>
    <x v="494"/>
    <x v="0"/>
    <m/>
    <x v="0"/>
    <x v="0"/>
  </r>
  <r>
    <x v="508"/>
    <x v="16"/>
    <s v="Camion"/>
    <x v="5"/>
    <s v="11470-A-73"/>
    <n v="26910"/>
    <x v="103"/>
    <s v="support cardon "/>
    <s v="c"/>
    <x v="735"/>
    <n v="178339"/>
    <n v="570"/>
    <n v="570"/>
    <x v="494"/>
    <x v="0"/>
    <m/>
    <x v="0"/>
    <x v="0"/>
  </r>
  <r>
    <x v="509"/>
    <x v="20"/>
    <s v="Camion"/>
    <x v="6"/>
    <s v="4790-B-8"/>
    <n v="26075"/>
    <x v="11"/>
    <s v="plaquette de frein "/>
    <s v="c"/>
    <x v="736"/>
    <s v="177685_x000a_177316"/>
    <n v="570"/>
    <n v="570"/>
    <x v="495"/>
    <x v="0"/>
    <m/>
    <x v="0"/>
    <x v="0"/>
  </r>
  <r>
    <x v="510"/>
    <x v="17"/>
    <s v="Bus de transport"/>
    <x v="11"/>
    <s v="18516-A-73"/>
    <n v="26076"/>
    <x v="7"/>
    <s v="kit d'embrayage"/>
    <s v="c"/>
    <x v="737"/>
    <s v="177681_x000a_177690_x000a_177694"/>
    <n v="1710"/>
    <n v="2280"/>
    <x v="479"/>
    <x v="0"/>
    <m/>
    <x v="0"/>
    <x v="0"/>
  </r>
  <r>
    <x v="510"/>
    <x v="20"/>
    <s v="Camion"/>
    <x v="6"/>
    <s v="4790-B-8"/>
    <n v="26087"/>
    <x v="128"/>
    <s v="jeu du garniture "/>
    <s v="c"/>
    <x v="738"/>
    <m/>
    <n v="1140"/>
    <n v="1140"/>
    <x v="463"/>
    <x v="0"/>
    <m/>
    <x v="0"/>
    <x v="0"/>
  </r>
  <r>
    <x v="511"/>
    <x v="9"/>
    <s v="Bus de transport"/>
    <x v="7"/>
    <s v="22772-A-73"/>
    <n v="26082"/>
    <x v="0"/>
    <s v="vidange"/>
    <s v="P"/>
    <x v="739"/>
    <s v="177678_x000a_175064"/>
    <n v="120"/>
    <n v="120"/>
    <x v="496"/>
    <x v="0"/>
    <m/>
    <x v="0"/>
    <x v="0"/>
  </r>
  <r>
    <x v="512"/>
    <x v="21"/>
    <s v="Chariot elevateur"/>
    <x v="13"/>
    <s v="-"/>
    <n v="24693"/>
    <x v="80"/>
    <s v="moteur endommage"/>
    <s v="c"/>
    <x v="740"/>
    <s v="171768_x000a_171762_x000a_171458_x000a_171752_x000a_171493_x000a_171485_x000a_171472_x000a_171470_x000a_171467"/>
    <n v="3990"/>
    <n v="5700"/>
    <x v="424"/>
    <x v="0"/>
    <m/>
    <x v="0"/>
    <x v="0"/>
  </r>
  <r>
    <x v="513"/>
    <x v="10"/>
    <s v="Camion"/>
    <x v="8"/>
    <s v="25636-A-13"/>
    <n v="26083"/>
    <x v="0"/>
    <s v="vidange"/>
    <s v="P"/>
    <x v="741"/>
    <n v="178302"/>
    <n v="120"/>
    <n v="120"/>
    <x v="497"/>
    <x v="0"/>
    <m/>
    <x v="0"/>
    <x v="0"/>
  </r>
  <r>
    <x v="514"/>
    <x v="12"/>
    <s v="Semi remorque"/>
    <x v="3"/>
    <s v="17885-A-73 "/>
    <n v="26084"/>
    <x v="35"/>
    <s v="des lampes "/>
    <s v="c"/>
    <x v="78"/>
    <n v="178304"/>
    <n v="60"/>
    <n v="60"/>
    <x v="485"/>
    <x v="0"/>
    <m/>
    <x v="0"/>
    <x v="0"/>
  </r>
  <r>
    <x v="515"/>
    <x v="0"/>
    <s v="Voiture de fonction"/>
    <x v="0"/>
    <s v="981-A-73"/>
    <n v="26085"/>
    <x v="0"/>
    <s v="vidange"/>
    <s v="P"/>
    <x v="742"/>
    <n v="178310"/>
    <n v="60"/>
    <n v="60"/>
    <x v="498"/>
    <x v="0"/>
    <m/>
    <x v="0"/>
    <x v="0"/>
  </r>
  <r>
    <x v="516"/>
    <x v="23"/>
    <s v="Semi remorque"/>
    <x v="6"/>
    <s v="706-A-73"/>
    <n v="26078"/>
    <x v="32"/>
    <s v="tuyau du gasoil "/>
    <s v="c"/>
    <x v="743"/>
    <s v="177655_x000a_178333"/>
    <n v="3400"/>
    <n v="14250"/>
    <x v="463"/>
    <x v="0"/>
    <m/>
    <x v="0"/>
    <x v="0"/>
  </r>
  <r>
    <x v="516"/>
    <x v="4"/>
    <s v="Camion"/>
    <x v="3"/>
    <s v="22299-A-73"/>
    <n v="26901"/>
    <x v="9"/>
    <s v="usure "/>
    <s v="c"/>
    <x v="744"/>
    <n v="178317"/>
    <n v="120"/>
    <n v="120"/>
    <x v="499"/>
    <x v="0"/>
    <m/>
    <x v="0"/>
    <x v="0"/>
  </r>
  <r>
    <x v="516"/>
    <x v="12"/>
    <s v="Semi remorque"/>
    <x v="3"/>
    <s v="17885-A-73 "/>
    <n v="26902"/>
    <x v="23"/>
    <s v="venteuse du cabine "/>
    <s v="c"/>
    <x v="745"/>
    <s v="178318_x000a_178323"/>
    <n v="1140"/>
    <n v="1140"/>
    <x v="500"/>
    <x v="0"/>
    <m/>
    <x v="0"/>
    <x v="0"/>
  </r>
  <r>
    <x v="517"/>
    <x v="7"/>
    <s v="Camion"/>
    <x v="5"/>
    <s v=" 11469-A-73"/>
    <n v="26903"/>
    <x v="28"/>
    <s v="appareille d'air "/>
    <s v="c"/>
    <x v="563"/>
    <n v="178320"/>
    <n v="1140"/>
    <n v="1140"/>
    <x v="501"/>
    <x v="0"/>
    <m/>
    <x v="0"/>
    <x v="0"/>
  </r>
  <r>
    <x v="517"/>
    <x v="17"/>
    <s v="Bus de transport"/>
    <x v="11"/>
    <s v="18516-A-73"/>
    <n v="26906"/>
    <x v="25"/>
    <s v="porte arriere "/>
    <s v="c"/>
    <x v="746"/>
    <n v="178331"/>
    <n v="180"/>
    <n v="180"/>
    <x v="481"/>
    <x v="0"/>
    <m/>
    <x v="0"/>
    <x v="0"/>
  </r>
  <r>
    <x v="517"/>
    <x v="38"/>
    <s v="Voiture de fonction"/>
    <x v="25"/>
    <s v="4812-A-73"/>
    <n v="26907"/>
    <x v="25"/>
    <s v="leve glace "/>
    <s v="c"/>
    <x v="747"/>
    <n v="178332"/>
    <n v="240"/>
    <n v="240"/>
    <x v="481"/>
    <x v="0"/>
    <m/>
    <x v="0"/>
    <x v="0"/>
  </r>
  <r>
    <x v="518"/>
    <x v="4"/>
    <s v="Camion"/>
    <x v="3"/>
    <s v="22299-A-73"/>
    <n v="26908"/>
    <x v="0"/>
    <s v="vidange"/>
    <s v="P"/>
    <x v="748"/>
    <n v="178337"/>
    <n v="570"/>
    <n v="570"/>
    <x v="500"/>
    <x v="0"/>
    <m/>
    <x v="0"/>
    <x v="0"/>
  </r>
  <r>
    <x v="518"/>
    <x v="17"/>
    <s v="Bus de transport"/>
    <x v="11"/>
    <s v="18516-A-73"/>
    <n v="26909"/>
    <x v="7"/>
    <s v="disque d'embrayage "/>
    <s v="c"/>
    <x v="749"/>
    <n v="178338"/>
    <n v="1140"/>
    <n v="1140"/>
    <x v="502"/>
    <x v="0"/>
    <m/>
    <x v="0"/>
    <x v="0"/>
  </r>
  <r>
    <x v="519"/>
    <x v="42"/>
    <s v="Chariot elevateur"/>
    <x v="28"/>
    <n v="0"/>
    <n v="26086"/>
    <x v="86"/>
    <s v="pont avant "/>
    <s v="c"/>
    <x v="750"/>
    <s v="178314_x000a_178315"/>
    <n v="1002"/>
    <n v="1002"/>
    <x v="463"/>
    <x v="0"/>
    <m/>
    <x v="0"/>
    <x v="0"/>
  </r>
  <r>
    <x v="520"/>
    <x v="5"/>
    <s v="Semi remorque"/>
    <x v="3"/>
    <s v="70352-A-6"/>
    <n v="26911"/>
    <x v="28"/>
    <s v="flexible d'air "/>
    <s v="c"/>
    <x v="751"/>
    <n v="178344"/>
    <n v="570"/>
    <n v="570"/>
    <x v="501"/>
    <x v="0"/>
    <m/>
    <x v="0"/>
    <x v="0"/>
  </r>
  <r>
    <x v="520"/>
    <x v="23"/>
    <s v="Semi remorque"/>
    <x v="6"/>
    <s v="706-A-73"/>
    <n v="26912"/>
    <x v="129"/>
    <s v="usure "/>
    <s v="c"/>
    <x v="752"/>
    <n v="178345"/>
    <n v="120"/>
    <n v="120"/>
    <x v="501"/>
    <x v="0"/>
    <m/>
    <x v="0"/>
    <x v="0"/>
  </r>
  <r>
    <x v="520"/>
    <x v="20"/>
    <s v="Camion"/>
    <x v="6"/>
    <s v="4790-B-8"/>
    <n v="26913"/>
    <x v="11"/>
    <s v="garniture de frein"/>
    <s v="c"/>
    <x v="753"/>
    <n v="178346"/>
    <n v="1710"/>
    <n v="1710"/>
    <x v="503"/>
    <x v="0"/>
    <m/>
    <x v="0"/>
    <x v="0"/>
  </r>
  <r>
    <x v="520"/>
    <x v="13"/>
    <s v="Camion"/>
    <x v="5"/>
    <s v="4703-A-73"/>
    <n v="26914"/>
    <x v="31"/>
    <s v="durite d'eau"/>
    <s v="c"/>
    <x v="754"/>
    <n v="178347"/>
    <n v="120"/>
    <n v="120"/>
    <x v="501"/>
    <x v="0"/>
    <m/>
    <x v="0"/>
    <x v="0"/>
  </r>
  <r>
    <x v="521"/>
    <x v="9"/>
    <s v="Bus de transport"/>
    <x v="7"/>
    <s v="22772-A-73"/>
    <n v="26915"/>
    <x v="16"/>
    <s v="usure "/>
    <s v="c"/>
    <x v="755"/>
    <n v="178350"/>
    <n v="120"/>
    <n v="120"/>
    <x v="502"/>
    <x v="0"/>
    <m/>
    <x v="0"/>
    <x v="0"/>
  </r>
  <r>
    <x v="522"/>
    <x v="10"/>
    <s v="Camion"/>
    <x v="8"/>
    <s v="25636-A-13"/>
    <n v="26916"/>
    <x v="16"/>
    <s v="usure "/>
    <s v="c"/>
    <x v="756"/>
    <n v="179606"/>
    <n v="120"/>
    <n v="120"/>
    <x v="504"/>
    <x v="0"/>
    <m/>
    <x v="0"/>
    <x v="0"/>
  </r>
  <r>
    <x v="522"/>
    <x v="23"/>
    <s v="Semi remorque"/>
    <x v="6"/>
    <s v="706-A-73"/>
    <n v="26917"/>
    <x v="0"/>
    <s v="vidange"/>
    <s v="c"/>
    <x v="757"/>
    <n v="179607"/>
    <n v="120"/>
    <n v="120"/>
    <x v="504"/>
    <x v="0"/>
    <m/>
    <x v="0"/>
    <x v="0"/>
  </r>
  <r>
    <x v="522"/>
    <x v="5"/>
    <s v="Semi remorque"/>
    <x v="3"/>
    <s v="70352-A-6"/>
    <n v="26918"/>
    <x v="35"/>
    <s v="des lampes "/>
    <s v="c"/>
    <x v="135"/>
    <n v="179608"/>
    <n v="240"/>
    <n v="240"/>
    <x v="504"/>
    <x v="0"/>
    <m/>
    <x v="0"/>
    <x v="0"/>
  </r>
  <r>
    <x v="522"/>
    <x v="2"/>
    <s v="Chariot elevateur"/>
    <x v="2"/>
    <s v="-"/>
    <n v="26919"/>
    <x v="0"/>
    <s v="vidange"/>
    <s v="c"/>
    <x v="758"/>
    <n v="179610"/>
    <n v="120"/>
    <n v="120"/>
    <x v="504"/>
    <x v="0"/>
    <m/>
    <x v="0"/>
    <x v="0"/>
  </r>
  <r>
    <x v="523"/>
    <x v="23"/>
    <s v="Semi remorque"/>
    <x v="6"/>
    <s v="706-A-73"/>
    <n v="26920"/>
    <x v="25"/>
    <s v="limitation de vitesse "/>
    <s v="c"/>
    <x v="759"/>
    <n v="179612"/>
    <n v="180"/>
    <n v="180"/>
    <x v="505"/>
    <x v="0"/>
    <m/>
    <x v="0"/>
    <x v="0"/>
  </r>
  <r>
    <x v="524"/>
    <x v="3"/>
    <s v="Camion"/>
    <x v="3"/>
    <s v="22300-A-73"/>
    <n v="26923"/>
    <x v="35"/>
    <s v="des lampes "/>
    <s v="c"/>
    <x v="135"/>
    <n v="179620"/>
    <n v="180"/>
    <n v="180"/>
    <x v="506"/>
    <x v="0"/>
    <m/>
    <x v="0"/>
    <x v="0"/>
  </r>
  <r>
    <x v="525"/>
    <x v="1"/>
    <s v="Camion"/>
    <x v="1"/>
    <s v="26128-A-8"/>
    <n v="26922"/>
    <x v="51"/>
    <s v="alternateur de charge battrie "/>
    <s v="c"/>
    <x v="489"/>
    <n v="179622"/>
    <n v="180"/>
    <n v="180"/>
    <x v="507"/>
    <x v="0"/>
    <m/>
    <x v="0"/>
    <x v="0"/>
  </r>
  <r>
    <x v="525"/>
    <x v="23"/>
    <s v="Semi remorque"/>
    <x v="6"/>
    <s v="706-A-73"/>
    <n v="26924"/>
    <x v="35"/>
    <s v="des lampes "/>
    <s v="c"/>
    <x v="760"/>
    <n v="179625"/>
    <n v="180"/>
    <n v="180"/>
    <x v="507"/>
    <x v="0"/>
    <m/>
    <x v="0"/>
    <x v="0"/>
  </r>
  <r>
    <x v="525"/>
    <x v="1"/>
    <s v="Camion"/>
    <x v="1"/>
    <s v="26128-A-8"/>
    <n v="26925"/>
    <x v="27"/>
    <s v="relais démarreur "/>
    <s v="c"/>
    <x v="761"/>
    <n v="179624"/>
    <n v="360"/>
    <n v="360"/>
    <x v="507"/>
    <x v="0"/>
    <m/>
    <x v="0"/>
    <x v="0"/>
  </r>
  <r>
    <x v="525"/>
    <x v="16"/>
    <s v="Camion"/>
    <x v="5"/>
    <s v="11470-A-73"/>
    <n v="26926"/>
    <x v="35"/>
    <s v="des lampes "/>
    <s v="c"/>
    <x v="135"/>
    <n v="179627"/>
    <n v="120"/>
    <n v="120"/>
    <x v="507"/>
    <x v="0"/>
    <m/>
    <x v="0"/>
    <x v="0"/>
  </r>
  <r>
    <x v="526"/>
    <x v="26"/>
    <s v="Chariot elevateur"/>
    <x v="15"/>
    <s v="-"/>
    <m/>
    <x v="41"/>
    <m/>
    <m/>
    <x v="703"/>
    <m/>
    <m/>
    <n v="14820"/>
    <x v="508"/>
    <x v="0"/>
    <m/>
    <x v="0"/>
    <x v="0"/>
  </r>
  <r>
    <x v="527"/>
    <x v="28"/>
    <s v="Chariot elevateur"/>
    <x v="13"/>
    <s v="-"/>
    <n v="26927"/>
    <x v="130"/>
    <s v="flexyble percé"/>
    <s v="c"/>
    <x v="762"/>
    <n v="179642"/>
    <n v="570"/>
    <n v="570"/>
    <x v="509"/>
    <x v="0"/>
    <m/>
    <x v="0"/>
    <x v="0"/>
  </r>
  <r>
    <x v="528"/>
    <x v="21"/>
    <s v="Chariot elevateur"/>
    <x v="13"/>
    <s v="-"/>
    <n v="26929"/>
    <x v="27"/>
    <s v="battrie de démarrage "/>
    <s v="c"/>
    <x v="763"/>
    <n v="180653"/>
    <n v="120"/>
    <n v="120"/>
    <x v="510"/>
    <x v="0"/>
    <m/>
    <x v="0"/>
    <x v="0"/>
  </r>
  <r>
    <x v="528"/>
    <x v="23"/>
    <s v="Semi remorque"/>
    <x v="6"/>
    <s v="706-A-73"/>
    <n v="26930"/>
    <x v="25"/>
    <s v="porte du cabine"/>
    <s v="c"/>
    <x v="764"/>
    <n v="180854"/>
    <n v="3420"/>
    <n v="3420"/>
    <x v="511"/>
    <x v="0"/>
    <m/>
    <x v="0"/>
    <x v="0"/>
  </r>
  <r>
    <x v="528"/>
    <x v="27"/>
    <s v="Voiture de fonction"/>
    <x v="0"/>
    <s v=" 9660 -A-73"/>
    <n v="26931"/>
    <x v="10"/>
    <s v="des amortisseurs"/>
    <s v="c"/>
    <x v="765"/>
    <s v="180670_x000a_180655_x000a_180683_x000a_180940"/>
    <n v="1710"/>
    <n v="1710"/>
    <x v="512"/>
    <x v="0"/>
    <m/>
    <x v="0"/>
    <x v="0"/>
  </r>
  <r>
    <x v="529"/>
    <x v="33"/>
    <s v="Chariot elevateur"/>
    <x v="18"/>
    <s v="-"/>
    <n v="26932"/>
    <x v="0"/>
    <s v="vidange"/>
    <s v="c"/>
    <x v="766"/>
    <n v="180663"/>
    <n v="360"/>
    <n v="360"/>
    <x v="513"/>
    <x v="0"/>
    <m/>
    <x v="0"/>
    <x v="0"/>
  </r>
  <r>
    <x v="529"/>
    <x v="11"/>
    <s v="Semi remorque"/>
    <x v="3"/>
    <s v="17886-A-73 "/>
    <n v="26933"/>
    <x v="0"/>
    <s v="filtre a air "/>
    <s v="c"/>
    <x v="767"/>
    <n v="180664"/>
    <n v="60"/>
    <n v="60"/>
    <x v="513"/>
    <x v="0"/>
    <m/>
    <x v="0"/>
    <x v="0"/>
  </r>
  <r>
    <x v="530"/>
    <x v="32"/>
    <s v="Chariot elevateur"/>
    <x v="2"/>
    <s v="-"/>
    <n v="26934"/>
    <x v="0"/>
    <s v="vidange"/>
    <s v="P"/>
    <x v="768"/>
    <n v="180666"/>
    <n v="120"/>
    <n v="120"/>
    <x v="514"/>
    <x v="0"/>
    <m/>
    <x v="0"/>
    <x v="0"/>
  </r>
  <r>
    <x v="531"/>
    <x v="21"/>
    <s v="Chariot elevateur"/>
    <x v="13"/>
    <s v="-"/>
    <n v="26935"/>
    <x v="131"/>
    <s v="galet de rampe"/>
    <s v="c"/>
    <x v="769"/>
    <n v="180682"/>
    <n v="5700"/>
    <n v="5700"/>
    <x v="515"/>
    <x v="0"/>
    <m/>
    <x v="0"/>
    <x v="0"/>
  </r>
  <r>
    <x v="531"/>
    <x v="10"/>
    <s v="Camion"/>
    <x v="8"/>
    <s v="25636-A-13"/>
    <n v="26936"/>
    <x v="35"/>
    <s v="des lampes "/>
    <s v="c"/>
    <x v="770"/>
    <s v="180684_x000a_180931"/>
    <n v="360"/>
    <n v="360"/>
    <x v="516"/>
    <x v="0"/>
    <m/>
    <x v="0"/>
    <x v="0"/>
  </r>
  <r>
    <x v="531"/>
    <x v="2"/>
    <s v="Chariot elevateur"/>
    <x v="2"/>
    <s v="-"/>
    <n v="26937"/>
    <x v="27"/>
    <s v="démarreur _x000a_"/>
    <s v="c"/>
    <x v="771"/>
    <s v="180685_x000a_180903_x000a_180918"/>
    <n v="1140"/>
    <n v="1140"/>
    <x v="517"/>
    <x v="0"/>
    <m/>
    <x v="0"/>
    <x v="0"/>
  </r>
  <r>
    <x v="532"/>
    <x v="11"/>
    <s v="Semi remorque"/>
    <x v="3"/>
    <s v="17886-A-73 "/>
    <n v="26940"/>
    <x v="0"/>
    <s v="vidange"/>
    <s v="c"/>
    <x v="772"/>
    <s v="180901_x000a_180910"/>
    <n v="180"/>
    <n v="180"/>
    <x v="517"/>
    <x v="0"/>
    <m/>
    <x v="0"/>
    <x v="0"/>
  </r>
  <r>
    <x v="533"/>
    <x v="6"/>
    <s v="Pick up"/>
    <x v="4"/>
    <s v="22368-A-73"/>
    <n v="26942"/>
    <x v="0"/>
    <s v="vidange"/>
    <s v="c"/>
    <x v="773"/>
    <n v="180909"/>
    <n v="120"/>
    <n v="120"/>
    <x v="518"/>
    <x v="0"/>
    <m/>
    <x v="0"/>
    <x v="0"/>
  </r>
  <r>
    <x v="534"/>
    <x v="16"/>
    <s v="Camion"/>
    <x v="5"/>
    <s v="11470-A-73"/>
    <n v="26943"/>
    <x v="27"/>
    <s v="battrie de démarrage "/>
    <s v="c"/>
    <x v="774"/>
    <n v="180925"/>
    <n v="60"/>
    <n v="60"/>
    <x v="519"/>
    <x v="0"/>
    <m/>
    <x v="0"/>
    <x v="0"/>
  </r>
  <r>
    <x v="534"/>
    <x v="22"/>
    <s v="Chariot elevateur"/>
    <x v="14"/>
    <s v="-"/>
    <n v="26947"/>
    <x v="115"/>
    <s v="des roulements"/>
    <s v="c"/>
    <x v="775"/>
    <s v="181622_x000a_181606"/>
    <n v="5700"/>
    <n v="14800"/>
    <x v="520"/>
    <x v="0"/>
    <m/>
    <x v="0"/>
    <x v="0"/>
  </r>
  <r>
    <x v="535"/>
    <x v="38"/>
    <s v="Voiture de fonction"/>
    <x v="25"/>
    <s v="4812-A-73"/>
    <n v="26939"/>
    <x v="132"/>
    <s v="battrie de démarrage "/>
    <s v="c"/>
    <x v="776"/>
    <n v="180689"/>
    <n v="120"/>
    <n v="120"/>
    <x v="521"/>
    <x v="0"/>
    <m/>
    <x v="0"/>
    <x v="0"/>
  </r>
  <r>
    <x v="536"/>
    <x v="7"/>
    <s v="Camion"/>
    <x v="5"/>
    <s v=" 11469-A-73"/>
    <n v="26941"/>
    <x v="133"/>
    <s v="manocontct"/>
    <s v="c"/>
    <x v="777"/>
    <s v="180939_x000a_180908"/>
    <n v="180"/>
    <n v="180"/>
    <x v="522"/>
    <x v="0"/>
    <m/>
    <x v="0"/>
    <x v="0"/>
  </r>
  <r>
    <x v="536"/>
    <x v="5"/>
    <s v="Semi remorque"/>
    <x v="3"/>
    <s v="70352-A-6"/>
    <n v="26946"/>
    <x v="16"/>
    <s v="usure"/>
    <s v="c"/>
    <x v="778"/>
    <n v="180604"/>
    <n v="240"/>
    <n v="240"/>
    <x v="522"/>
    <x v="0"/>
    <m/>
    <x v="0"/>
    <x v="0"/>
  </r>
  <r>
    <x v="537"/>
    <x v="12"/>
    <s v="Semi remorque"/>
    <x v="3"/>
    <s v="17885-A-73 "/>
    <n v="26938"/>
    <x v="11"/>
    <s v="plaquette de fein"/>
    <s v="c"/>
    <x v="779"/>
    <s v="180904_x000a_180930_x000a_180945"/>
    <n v="1710"/>
    <n v="1710"/>
    <x v="523"/>
    <x v="0"/>
    <m/>
    <x v="0"/>
    <x v="0"/>
  </r>
  <r>
    <x v="537"/>
    <x v="19"/>
    <s v="Chargeur"/>
    <x v="12"/>
    <s v="-"/>
    <n v="26944"/>
    <x v="27"/>
    <s v="solinoide d'arrét moteur "/>
    <s v="c"/>
    <x v="224"/>
    <n v="180939"/>
    <n v="60"/>
    <n v="60"/>
    <x v="515"/>
    <x v="0"/>
    <m/>
    <x v="0"/>
    <x v="0"/>
  </r>
  <r>
    <x v="538"/>
    <x v="4"/>
    <s v="Camion"/>
    <x v="3"/>
    <s v="22299-A-73"/>
    <n v="26945"/>
    <x v="51"/>
    <s v="courroie"/>
    <s v="c"/>
    <x v="780"/>
    <s v="180605_x000a_1800946"/>
    <n v="1710"/>
    <n v="1710"/>
    <x v="524"/>
    <x v="0"/>
    <m/>
    <x v="0"/>
    <x v="0"/>
  </r>
  <r>
    <x v="539"/>
    <x v="8"/>
    <s v="Semi remorque"/>
    <x v="6"/>
    <s v="28659-D-1 "/>
    <n v="26948"/>
    <x v="0"/>
    <s v="vidange"/>
    <s v="c"/>
    <x v="781"/>
    <n v="181609"/>
    <n v="120"/>
    <n v="120"/>
    <x v="508"/>
    <x v="0"/>
    <m/>
    <x v="0"/>
    <x v="0"/>
  </r>
  <r>
    <x v="540"/>
    <x v="26"/>
    <s v="Chariot elevateur"/>
    <x v="15"/>
    <s v="-"/>
    <m/>
    <x v="41"/>
    <m/>
    <m/>
    <x v="703"/>
    <m/>
    <m/>
    <n v="14820"/>
    <x v="525"/>
    <x v="0"/>
    <m/>
    <x v="0"/>
    <x v="0"/>
  </r>
  <r>
    <x v="541"/>
    <x v="14"/>
    <s v="Balayeuse"/>
    <x v="9"/>
    <s v="-"/>
    <n v="26928"/>
    <x v="134"/>
    <s v="usure du godet "/>
    <s v="c"/>
    <x v="782"/>
    <s v="179647_x000a_181192_x000a_181168"/>
    <n v="11400"/>
    <n v="11400"/>
    <x v="526"/>
    <x v="0"/>
    <m/>
    <x v="0"/>
    <x v="0"/>
  </r>
  <r>
    <x v="542"/>
    <x v="29"/>
    <s v="Chariot elevateur"/>
    <x v="16"/>
    <s v="-"/>
    <n v="26949"/>
    <x v="70"/>
    <s v="courroie"/>
    <s v="c"/>
    <x v="783"/>
    <n v="181162"/>
    <n v="180"/>
    <n v="180"/>
    <x v="527"/>
    <x v="0"/>
    <m/>
    <x v="0"/>
    <x v="0"/>
  </r>
  <r>
    <x v="542"/>
    <x v="0"/>
    <s v="Voiture de fonction"/>
    <x v="0"/>
    <s v="981-A-73"/>
    <n v="26950"/>
    <x v="0"/>
    <s v="vidange"/>
    <s v="P"/>
    <x v="784"/>
    <n v="181614"/>
    <n v="120"/>
    <n v="120"/>
    <x v="527"/>
    <x v="0"/>
    <m/>
    <x v="0"/>
    <x v="0"/>
  </r>
  <r>
    <x v="543"/>
    <x v="7"/>
    <s v="Camion"/>
    <x v="5"/>
    <s v=" 11469-A-73"/>
    <n v="26751"/>
    <x v="0"/>
    <s v="vidange"/>
    <s v="c"/>
    <x v="785"/>
    <n v="181629"/>
    <n v="120"/>
    <n v="120"/>
    <x v="526"/>
    <x v="0"/>
    <m/>
    <x v="0"/>
    <x v="0"/>
  </r>
  <r>
    <x v="544"/>
    <x v="15"/>
    <s v="Chariot elevateur"/>
    <x v="10"/>
    <s v="-"/>
    <n v="26755"/>
    <x v="57"/>
    <s v="des rotule "/>
    <s v="c"/>
    <x v="786"/>
    <n v="181862"/>
    <n v="2850"/>
    <n v="7410"/>
    <x v="528"/>
    <x v="0"/>
    <m/>
    <x v="0"/>
    <x v="0"/>
  </r>
  <r>
    <x v="545"/>
    <x v="15"/>
    <s v="Chariot elevateur"/>
    <x v="10"/>
    <s v="-"/>
    <n v="26766"/>
    <x v="70"/>
    <s v="pompe a eau"/>
    <s v="c"/>
    <x v="787"/>
    <s v="182182_x000a_182194"/>
    <n v="2280"/>
    <n v="8550"/>
    <x v="529"/>
    <x v="0"/>
    <m/>
    <x v="0"/>
    <x v="0"/>
  </r>
  <r>
    <x v="546"/>
    <x v="23"/>
    <s v="Semi remorque"/>
    <x v="6"/>
    <s v="706-A-73"/>
    <n v="26752"/>
    <x v="70"/>
    <s v="coupleur du ventilateur "/>
    <s v="c"/>
    <x v="788"/>
    <n v="181641"/>
    <n v="2280"/>
    <n v="2850"/>
    <x v="530"/>
    <x v="0"/>
    <m/>
    <x v="0"/>
    <x v="0"/>
  </r>
  <r>
    <x v="547"/>
    <x v="23"/>
    <s v="Semi remorque"/>
    <x v="6"/>
    <s v="706-A-73"/>
    <n v="26754"/>
    <x v="135"/>
    <s v="circuit du gasoil "/>
    <s v="c"/>
    <x v="789"/>
    <s v="181851_x000a_181853_x000a_181888"/>
    <n v="3420"/>
    <n v="3420"/>
    <x v="525"/>
    <x v="0"/>
    <m/>
    <x v="0"/>
    <x v="0"/>
  </r>
  <r>
    <x v="548"/>
    <x v="24"/>
    <s v="Voiture de fonction"/>
    <x v="0"/>
    <s v="10551-A-73"/>
    <n v="26753"/>
    <x v="136"/>
    <s v="usure des couroies "/>
    <s v="c"/>
    <x v="790"/>
    <n v="181642"/>
    <n v="1140"/>
    <n v="1170"/>
    <x v="531"/>
    <x v="0"/>
    <m/>
    <x v="0"/>
    <x v="0"/>
  </r>
  <r>
    <x v="549"/>
    <x v="20"/>
    <s v="Camion"/>
    <x v="6"/>
    <s v="4790-B-8"/>
    <n v="26761"/>
    <x v="137"/>
    <s v="pompe a gasoil"/>
    <s v="c"/>
    <x v="791"/>
    <s v="181167_x000a_181184_x000a_181152"/>
    <n v="2840"/>
    <n v="2840"/>
    <x v="525"/>
    <x v="0"/>
    <m/>
    <x v="0"/>
    <x v="0"/>
  </r>
  <r>
    <x v="549"/>
    <x v="18"/>
    <s v="Camion"/>
    <x v="5"/>
    <s v="4969-A-73 "/>
    <n v="26763"/>
    <x v="70"/>
    <s v="radiateur "/>
    <s v="c"/>
    <x v="792"/>
    <s v="182193_x000a_182173"/>
    <n v="1710"/>
    <n v="3420"/>
    <x v="532"/>
    <x v="0"/>
    <m/>
    <x v="0"/>
    <x v="0"/>
  </r>
  <r>
    <x v="550"/>
    <x v="26"/>
    <s v="Chariot elevateur"/>
    <x v="15"/>
    <s v="-"/>
    <n v="26779"/>
    <x v="62"/>
    <s v="bv endommagé"/>
    <s v="c"/>
    <x v="793"/>
    <s v="182364_x000a_182395"/>
    <n v="14820"/>
    <n v="14820"/>
    <x v="533"/>
    <x v="0"/>
    <m/>
    <x v="0"/>
    <x v="0"/>
  </r>
  <r>
    <x v="551"/>
    <x v="11"/>
    <s v="Semi remorque"/>
    <x v="3"/>
    <s v="17886-A-73 "/>
    <n v="26757"/>
    <x v="11"/>
    <s v="plaquette de frein "/>
    <s v="c"/>
    <x v="794"/>
    <s v="181876_x000a_181872_x000a_181871_x000a_181864"/>
    <n v="1710"/>
    <n v="1710"/>
    <x v="524"/>
    <x v="0"/>
    <m/>
    <x v="0"/>
    <x v="0"/>
  </r>
  <r>
    <x v="552"/>
    <x v="1"/>
    <s v="Camion"/>
    <x v="1"/>
    <s v="26128-A-8"/>
    <n v="26762"/>
    <x v="138"/>
    <s v="fixation roue"/>
    <s v="c"/>
    <x v="795"/>
    <n v="182172"/>
    <n v="240"/>
    <n v="240"/>
    <x v="532"/>
    <x v="0"/>
    <m/>
    <x v="0"/>
    <x v="0"/>
  </r>
  <r>
    <x v="553"/>
    <x v="2"/>
    <s v="Chariot elevateur"/>
    <x v="2"/>
    <s v="-"/>
    <n v="26758"/>
    <x v="132"/>
    <s v="contact de démarrage "/>
    <s v="c"/>
    <x v="796"/>
    <n v="181880"/>
    <n v="180"/>
    <n v="180"/>
    <x v="528"/>
    <x v="0"/>
    <m/>
    <x v="0"/>
    <x v="0"/>
  </r>
  <r>
    <x v="553"/>
    <x v="9"/>
    <s v="Bus de transport"/>
    <x v="7"/>
    <s v="22772-A-73"/>
    <n v="26759"/>
    <x v="11"/>
    <s v="garniture de frein "/>
    <s v="c"/>
    <x v="797"/>
    <s v="182151_x000a_182153_x000a_182156_x000a_181883_x000a_181881"/>
    <n v="1710"/>
    <n v="1710"/>
    <x v="534"/>
    <x v="0"/>
    <m/>
    <x v="0"/>
    <x v="0"/>
  </r>
  <r>
    <x v="553"/>
    <x v="22"/>
    <s v="Chariot elevateur"/>
    <x v="14"/>
    <s v="-"/>
    <m/>
    <x v="41"/>
    <s v="-"/>
    <m/>
    <x v="26"/>
    <m/>
    <m/>
    <n v="3420"/>
    <x v="525"/>
    <x v="0"/>
    <m/>
    <x v="0"/>
    <x v="0"/>
  </r>
  <r>
    <x v="554"/>
    <x v="32"/>
    <s v="Chariot elevateur"/>
    <x v="2"/>
    <s v="-"/>
    <n v="26760"/>
    <x v="27"/>
    <s v="battrie de démarrage "/>
    <s v="c"/>
    <x v="798"/>
    <n v="181889"/>
    <n v="30"/>
    <n v="30"/>
    <x v="535"/>
    <x v="0"/>
    <m/>
    <x v="0"/>
    <x v="0"/>
  </r>
  <r>
    <x v="555"/>
    <x v="25"/>
    <s v="Camion"/>
    <x v="1"/>
    <s v=" 22128-W-6"/>
    <n v="26786"/>
    <x v="11"/>
    <s v="des garniture de frein "/>
    <s v="c"/>
    <x v="799"/>
    <n v="182160"/>
    <n v="14820"/>
    <n v="14820"/>
    <x v="536"/>
    <x v="0"/>
    <m/>
    <x v="0"/>
    <x v="0"/>
  </r>
  <r>
    <x v="556"/>
    <x v="7"/>
    <s v="Camion"/>
    <x v="5"/>
    <s v=" 11469-A-73"/>
    <n v="26764"/>
    <x v="70"/>
    <s v="courroie "/>
    <s v="c"/>
    <x v="800"/>
    <n v="182175"/>
    <n v="570"/>
    <n v="570"/>
    <x v="537"/>
    <x v="0"/>
    <m/>
    <x v="0"/>
    <x v="0"/>
  </r>
  <r>
    <x v="557"/>
    <x v="28"/>
    <s v="Chariot elevateur"/>
    <x v="13"/>
    <s v="-"/>
    <n v="26765"/>
    <x v="16"/>
    <s v="usure "/>
    <s v="c"/>
    <x v="801"/>
    <n v="182181"/>
    <n v="1140"/>
    <n v="1140"/>
    <x v="538"/>
    <x v="0"/>
    <m/>
    <x v="0"/>
    <x v="0"/>
  </r>
  <r>
    <x v="558"/>
    <x v="43"/>
    <s v="Chariot elevateur"/>
    <x v="29"/>
    <n v="0"/>
    <n v="26770"/>
    <x v="139"/>
    <s v="plexyglace"/>
    <s v="c"/>
    <x v="802"/>
    <s v="182357_x000a_182180"/>
    <n v="1140"/>
    <n v="1140"/>
    <x v="526"/>
    <x v="0"/>
    <m/>
    <x v="0"/>
    <x v="0"/>
  </r>
  <r>
    <x v="559"/>
    <x v="11"/>
    <s v="Semi remorque"/>
    <x v="3"/>
    <s v="17886-A-73 "/>
    <n v="26769"/>
    <x v="140"/>
    <s v="usure "/>
    <s v="c"/>
    <x v="803"/>
    <n v="182356"/>
    <n v="1700"/>
    <n v="1700"/>
    <x v="539"/>
    <x v="0"/>
    <m/>
    <x v="0"/>
    <x v="0"/>
  </r>
  <r>
    <x v="560"/>
    <x v="23"/>
    <s v="Semi remorque"/>
    <x v="6"/>
    <s v="706-A-73"/>
    <n v="26768"/>
    <x v="27"/>
    <s v="gasoil "/>
    <s v="c"/>
    <x v="804"/>
    <s v="181361_x000a_182197"/>
    <n v="1710"/>
    <n v="1710"/>
    <x v="540"/>
    <x v="0"/>
    <m/>
    <x v="0"/>
    <x v="0"/>
  </r>
  <r>
    <x v="560"/>
    <x v="38"/>
    <s v="Voiture de fonction"/>
    <x v="25"/>
    <s v="4812-A-73"/>
    <n v="26771"/>
    <x v="11"/>
    <s v="disque de frein "/>
    <s v="c"/>
    <x v="805"/>
    <n v="182195"/>
    <n v="60"/>
    <n v="60"/>
    <x v="529"/>
    <x v="0"/>
    <m/>
    <x v="0"/>
    <x v="0"/>
  </r>
  <r>
    <x v="561"/>
    <x v="2"/>
    <s v="Chariot elevateur"/>
    <x v="2"/>
    <s v="-"/>
    <n v="26774"/>
    <x v="0"/>
    <s v="mise a niveau"/>
    <s v="c"/>
    <x v="696"/>
    <n v="182379"/>
    <n v="30"/>
    <n v="30"/>
    <x v="540"/>
    <x v="0"/>
    <m/>
    <x v="0"/>
    <x v="0"/>
  </r>
  <r>
    <x v="562"/>
    <x v="44"/>
    <s v="Chariot elevateur"/>
    <x v="29"/>
    <n v="0"/>
    <n v="26773"/>
    <x v="139"/>
    <s v="plexyglace"/>
    <s v="c"/>
    <x v="802"/>
    <s v="182376_x000a_182378"/>
    <n v="1140"/>
    <n v="1140"/>
    <x v="541"/>
    <x v="0"/>
    <m/>
    <x v="0"/>
    <x v="0"/>
  </r>
  <r>
    <x v="563"/>
    <x v="33"/>
    <s v="Chariot elevateur"/>
    <x v="18"/>
    <s v="-"/>
    <n v="26775"/>
    <x v="80"/>
    <s v="probleme de démarage"/>
    <m/>
    <x v="806"/>
    <m/>
    <m/>
    <s v=""/>
    <x v="57"/>
    <x v="0"/>
    <m/>
    <x v="0"/>
    <x v="0"/>
  </r>
  <r>
    <x v="563"/>
    <x v="6"/>
    <s v="Pick up"/>
    <x v="4"/>
    <s v="22368-A-73"/>
    <n v="26776"/>
    <x v="11"/>
    <s v="plaquette de frein "/>
    <s v="c"/>
    <x v="807"/>
    <n v="182387"/>
    <n v="180"/>
    <n v="180"/>
    <x v="542"/>
    <x v="0"/>
    <m/>
    <x v="0"/>
    <x v="0"/>
  </r>
  <r>
    <x v="563"/>
    <x v="8"/>
    <s v="Semi remorque"/>
    <x v="6"/>
    <s v="28659-D-1 "/>
    <n v="26777"/>
    <x v="28"/>
    <s v="union rapide "/>
    <s v="c"/>
    <x v="152"/>
    <n v="182388"/>
    <n v="60"/>
    <n v="60"/>
    <x v="542"/>
    <x v="0"/>
    <m/>
    <x v="0"/>
    <x v="0"/>
  </r>
  <r>
    <x v="564"/>
    <x v="2"/>
    <s v="Chariot elevateur"/>
    <x v="2"/>
    <s v="-"/>
    <n v="26778"/>
    <x v="0"/>
    <s v="mise a niveau"/>
    <s v="c"/>
    <x v="696"/>
    <n v="182289"/>
    <n v="30"/>
    <n v="30"/>
    <x v="543"/>
    <x v="0"/>
    <m/>
    <x v="0"/>
    <x v="0"/>
  </r>
  <r>
    <x v="565"/>
    <x v="0"/>
    <s v="Voiture de fonction"/>
    <x v="0"/>
    <s v="981-A-73"/>
    <n v="26780"/>
    <x v="46"/>
    <s v="support volant"/>
    <s v="c"/>
    <x v="808"/>
    <n v="182397"/>
    <n v="360"/>
    <n v="360"/>
    <x v="544"/>
    <x v="0"/>
    <m/>
    <x v="0"/>
    <x v="0"/>
  </r>
  <r>
    <x v="566"/>
    <x v="16"/>
    <s v="Camion"/>
    <x v="5"/>
    <s v="11470-A-73"/>
    <n v="26781"/>
    <x v="9"/>
    <s v="usure"/>
    <s v="c"/>
    <x v="809"/>
    <n v="183502"/>
    <n v="120"/>
    <n v="120"/>
    <x v="545"/>
    <x v="0"/>
    <m/>
    <x v="0"/>
    <x v="0"/>
  </r>
  <r>
    <x v="567"/>
    <x v="5"/>
    <s v="Semi remorque"/>
    <x v="3"/>
    <s v="70352-A-6"/>
    <n v="26782"/>
    <x v="27"/>
    <s v="gasoil "/>
    <s v="c"/>
    <x v="810"/>
    <n v="183509"/>
    <n v="570"/>
    <n v="570"/>
    <x v="520"/>
    <x v="0"/>
    <m/>
    <x v="0"/>
    <x v="0"/>
  </r>
  <r>
    <x v="567"/>
    <x v="23"/>
    <s v="Semi remorque"/>
    <x v="6"/>
    <s v="706-A-73"/>
    <n v="26783"/>
    <x v="9"/>
    <s v="usure"/>
    <s v="c"/>
    <x v="811"/>
    <n v="183510"/>
    <n v="120"/>
    <n v="120"/>
    <x v="546"/>
    <x v="0"/>
    <m/>
    <x v="0"/>
    <x v="0"/>
  </r>
  <r>
    <x v="567"/>
    <x v="11"/>
    <s v="Semi remorque"/>
    <x v="3"/>
    <s v="17886-A-73 "/>
    <n v="26784"/>
    <x v="35"/>
    <s v="des lampes "/>
    <s v="c"/>
    <x v="812"/>
    <n v="183511"/>
    <n v="120"/>
    <n v="120"/>
    <x v="546"/>
    <x v="0"/>
    <m/>
    <x v="0"/>
    <x v="0"/>
  </r>
  <r>
    <x v="567"/>
    <x v="8"/>
    <s v="Semi remorque"/>
    <x v="6"/>
    <s v="28659-D-1 "/>
    <n v="26785"/>
    <x v="141"/>
    <s v="usure "/>
    <s v="c"/>
    <x v="813"/>
    <n v="182396"/>
    <n v="60"/>
    <n v="60"/>
    <x v="544"/>
    <x v="0"/>
    <m/>
    <x v="0"/>
    <x v="0"/>
  </r>
  <r>
    <x v="568"/>
    <x v="0"/>
    <s v="Voiture de fonction"/>
    <x v="0"/>
    <s v="981-A-73"/>
    <m/>
    <x v="24"/>
    <s v="charge du battrie "/>
    <s v="c"/>
    <x v="814"/>
    <m/>
    <n v="120"/>
    <n v="120"/>
    <x v="547"/>
    <x v="0"/>
    <m/>
    <x v="0"/>
    <x v="0"/>
  </r>
  <r>
    <x v="569"/>
    <x v="4"/>
    <s v="Camion"/>
    <x v="3"/>
    <s v="22299-A-73"/>
    <m/>
    <x v="35"/>
    <s v="des lampes "/>
    <s v="c"/>
    <x v="815"/>
    <m/>
    <n v="240"/>
    <n v="240"/>
    <x v="548"/>
    <x v="0"/>
    <m/>
    <x v="0"/>
    <x v="0"/>
  </r>
  <r>
    <x v="570"/>
    <x v="20"/>
    <s v="Camion"/>
    <x v="6"/>
    <s v="4790-B-8"/>
    <m/>
    <x v="70"/>
    <s v="ventilateur de reefroidissement "/>
    <m/>
    <x v="816"/>
    <m/>
    <n v="570"/>
    <n v="2280"/>
    <x v="549"/>
    <x v="0"/>
    <m/>
    <x v="0"/>
    <x v="0"/>
  </r>
  <r>
    <x v="571"/>
    <x v="5"/>
    <s v="Semi remorque"/>
    <x v="3"/>
    <s v="70352-A-6"/>
    <m/>
    <x v="10"/>
    <s v="des ressort a lame "/>
    <s v="c"/>
    <x v="817"/>
    <m/>
    <n v="750"/>
    <n v="750"/>
    <x v="550"/>
    <x v="0"/>
    <m/>
    <x v="0"/>
    <x v="0"/>
  </r>
  <r>
    <x v="571"/>
    <x v="28"/>
    <s v="Chariot elevateur"/>
    <x v="13"/>
    <s v="-"/>
    <m/>
    <x v="80"/>
    <s v="fuite du gasoil "/>
    <s v="c"/>
    <x v="818"/>
    <m/>
    <n v="240"/>
    <n v="240"/>
    <x v="550"/>
    <x v="0"/>
    <m/>
    <x v="0"/>
    <x v="0"/>
  </r>
  <r>
    <x v="572"/>
    <x v="10"/>
    <s v="Camion"/>
    <x v="8"/>
    <s v="25636-A-13"/>
    <m/>
    <x v="28"/>
    <s v="flexible percé"/>
    <s v="c"/>
    <x v="26"/>
    <m/>
    <m/>
    <m/>
    <x v="57"/>
    <x v="0"/>
    <m/>
    <x v="0"/>
    <x v="0"/>
  </r>
  <r>
    <x v="572"/>
    <x v="16"/>
    <s v="Camion"/>
    <x v="5"/>
    <s v="11470-A-73"/>
    <m/>
    <x v="59"/>
    <s v="corrosion du carosserie "/>
    <s v="c"/>
    <x v="819"/>
    <m/>
    <m/>
    <m/>
    <x v="551"/>
    <x v="0"/>
    <m/>
    <x v="0"/>
    <x v="0"/>
  </r>
  <r>
    <x v="573"/>
    <x v="26"/>
    <s v="Chariot elevateur"/>
    <x v="15"/>
    <s v="-"/>
    <m/>
    <x v="142"/>
    <s v="des axes "/>
    <s v="c"/>
    <x v="820"/>
    <m/>
    <m/>
    <m/>
    <x v="57"/>
    <x v="0"/>
    <m/>
    <x v="0"/>
    <x v="0"/>
  </r>
  <r>
    <x v="574"/>
    <x v="1"/>
    <s v="Camion"/>
    <x v="1"/>
    <s v="26128-A-8"/>
    <m/>
    <x v="143"/>
    <s v="crevaison pneu "/>
    <s v="c"/>
    <x v="821"/>
    <m/>
    <m/>
    <m/>
    <x v="57"/>
    <x v="0"/>
    <m/>
    <x v="0"/>
    <x v="0"/>
  </r>
  <r>
    <x v="575"/>
    <x v="28"/>
    <s v="Chariot elevateur"/>
    <x v="13"/>
    <s v="-"/>
    <m/>
    <x v="21"/>
    <s v="distributeur hydr"/>
    <s v="c"/>
    <x v="822"/>
    <m/>
    <m/>
    <m/>
    <x v="57"/>
    <x v="0"/>
    <m/>
    <x v="0"/>
    <x v="0"/>
  </r>
  <r>
    <x v="576"/>
    <x v="38"/>
    <s v="Voiture de fonction"/>
    <x v="25"/>
    <s v="4812-A-73"/>
    <m/>
    <x v="144"/>
    <s v="voiture accidenté"/>
    <m/>
    <x v="823"/>
    <m/>
    <m/>
    <m/>
    <x v="552"/>
    <x v="0"/>
    <m/>
    <x v="0"/>
    <x v="0"/>
  </r>
  <r>
    <x v="577"/>
    <x v="43"/>
    <s v="Chariot elevateur"/>
    <x v="29"/>
    <n v="0"/>
    <m/>
    <x v="145"/>
    <s v="pompe d'injection "/>
    <m/>
    <x v="824"/>
    <m/>
    <m/>
    <m/>
    <x v="57"/>
    <x v="0"/>
    <m/>
    <x v="0"/>
    <x v="0"/>
  </r>
  <r>
    <x v="577"/>
    <x v="7"/>
    <s v="Camion"/>
    <x v="5"/>
    <s v=" 11469-A-73"/>
    <m/>
    <x v="35"/>
    <s v="charge du battrie "/>
    <m/>
    <x v="825"/>
    <m/>
    <m/>
    <m/>
    <x v="57"/>
    <x v="0"/>
    <m/>
    <x v="0"/>
    <x v="0"/>
  </r>
  <r>
    <x v="578"/>
    <x v="10"/>
    <s v="Camion"/>
    <x v="8"/>
    <s v="25636-A-13"/>
    <m/>
    <x v="146"/>
    <s v="flexible percé"/>
    <m/>
    <x v="183"/>
    <m/>
    <m/>
    <m/>
    <x v="57"/>
    <x v="0"/>
    <m/>
    <x v="0"/>
    <x v="0"/>
  </r>
  <r>
    <x v="579"/>
    <x v="4"/>
    <s v="Camion"/>
    <x v="3"/>
    <s v="22299-A-73"/>
    <m/>
    <x v="11"/>
    <s v="plaquettes de frein "/>
    <m/>
    <x v="826"/>
    <m/>
    <m/>
    <m/>
    <x v="57"/>
    <x v="0"/>
    <m/>
    <x v="0"/>
    <x v="0"/>
  </r>
  <r>
    <x v="579"/>
    <x v="17"/>
    <s v="Bus de transport"/>
    <x v="11"/>
    <s v="18516-A-73"/>
    <m/>
    <x v="147"/>
    <s v="barre de direction"/>
    <m/>
    <x v="827"/>
    <m/>
    <m/>
    <m/>
    <x v="57"/>
    <x v="0"/>
    <m/>
    <x v="0"/>
    <x v="0"/>
  </r>
  <r>
    <x v="579"/>
    <x v="30"/>
    <s v=""/>
    <x v="24"/>
    <s v=" "/>
    <m/>
    <x v="11"/>
    <s v="pompe de frein "/>
    <m/>
    <x v="828"/>
    <m/>
    <m/>
    <m/>
    <x v="57"/>
    <x v="0"/>
    <m/>
    <x v="0"/>
    <x v="0"/>
  </r>
  <r>
    <x v="580"/>
    <x v="20"/>
    <s v="Camion"/>
    <x v="6"/>
    <s v="4790-B-8"/>
    <m/>
    <x v="148"/>
    <s v="coupleur de ventilateur "/>
    <m/>
    <x v="829"/>
    <m/>
    <m/>
    <m/>
    <x v="57"/>
    <x v="0"/>
    <m/>
    <x v="0"/>
    <x v="0"/>
  </r>
  <r>
    <x v="581"/>
    <x v="10"/>
    <s v="Camion"/>
    <x v="8"/>
    <s v="25636-A-13"/>
    <m/>
    <x v="149"/>
    <s v="diagnostique "/>
    <m/>
    <x v="830"/>
    <m/>
    <m/>
    <m/>
    <x v="553"/>
    <x v="0"/>
    <m/>
    <x v="0"/>
    <x v="0"/>
  </r>
  <r>
    <x v="582"/>
    <x v="1"/>
    <s v="Camion"/>
    <x v="1"/>
    <s v="26128-A-8"/>
    <m/>
    <x v="51"/>
    <s v="courroie d'alternateur "/>
    <m/>
    <x v="831"/>
    <m/>
    <m/>
    <m/>
    <x v="554"/>
    <x v="0"/>
    <m/>
    <x v="0"/>
    <x v="0"/>
  </r>
  <r>
    <x v="583"/>
    <x v="17"/>
    <s v="Bus de transport"/>
    <x v="11"/>
    <s v="18516-A-73"/>
    <m/>
    <x v="148"/>
    <s v="pompe a eau "/>
    <m/>
    <x v="250"/>
    <m/>
    <m/>
    <m/>
    <x v="57"/>
    <x v="0"/>
    <m/>
    <x v="0"/>
    <x v="0"/>
  </r>
  <r>
    <x v="584"/>
    <x v="20"/>
    <s v="Camion"/>
    <x v="6"/>
    <s v="4790-B-8"/>
    <m/>
    <x v="150"/>
    <s v="probleme de rendement "/>
    <m/>
    <x v="832"/>
    <m/>
    <m/>
    <m/>
    <x v="57"/>
    <x v="0"/>
    <m/>
    <x v="0"/>
    <x v="0"/>
  </r>
  <r>
    <x v="585"/>
    <x v="30"/>
    <s v="linde siege "/>
    <x v="24"/>
    <s v=" "/>
    <m/>
    <x v="150"/>
    <s v="probleme d'echauffement du moteur "/>
    <s v="c"/>
    <x v="833"/>
    <m/>
    <n v="6840"/>
    <n v="8550"/>
    <x v="555"/>
    <x v="0"/>
    <m/>
    <x v="0"/>
    <x v="0"/>
  </r>
  <r>
    <x v="585"/>
    <x v="33"/>
    <s v="Chariot elevateur"/>
    <x v="18"/>
    <s v="-"/>
    <m/>
    <x v="9"/>
    <s v="usure "/>
    <s v="c"/>
    <x v="834"/>
    <m/>
    <n v="13680"/>
    <n v="13680"/>
    <x v="556"/>
    <x v="0"/>
    <m/>
    <x v="0"/>
    <x v="0"/>
  </r>
  <r>
    <x v="586"/>
    <x v="5"/>
    <s v="Semi remorque"/>
    <x v="3"/>
    <s v="70352-A-6"/>
    <m/>
    <x v="0"/>
    <s v="vidange"/>
    <m/>
    <x v="835"/>
    <m/>
    <n v="180"/>
    <n v="180"/>
    <x v="555"/>
    <x v="0"/>
    <m/>
    <x v="0"/>
    <x v="0"/>
  </r>
  <r>
    <x v="586"/>
    <x v="23"/>
    <s v="Semi remorque"/>
    <x v="6"/>
    <s v="706-A-73"/>
    <m/>
    <x v="35"/>
    <s v="des lampes "/>
    <s v="c"/>
    <x v="135"/>
    <m/>
    <n v="180"/>
    <n v="180"/>
    <x v="555"/>
    <x v="0"/>
    <m/>
    <x v="0"/>
    <x v="0"/>
  </r>
  <r>
    <x v="586"/>
    <x v="2"/>
    <s v="Chariot elevateur"/>
    <x v="2"/>
    <s v="-"/>
    <m/>
    <x v="138"/>
    <s v="bruit anormale "/>
    <s v="c"/>
    <x v="836"/>
    <m/>
    <n v="570"/>
    <n v="1140"/>
    <x v="555"/>
    <x v="0"/>
    <m/>
    <x v="0"/>
    <x v="0"/>
  </r>
  <r>
    <x v="586"/>
    <x v="29"/>
    <s v="Chariot elevateur"/>
    <x v="16"/>
    <s v="-"/>
    <m/>
    <x v="0"/>
    <s v="vidange"/>
    <s v="vp"/>
    <x v="837"/>
    <m/>
    <n v="120"/>
    <n v="120"/>
    <x v="555"/>
    <x v="0"/>
    <m/>
    <x v="0"/>
    <x v="0"/>
  </r>
  <r>
    <x v="586"/>
    <x v="39"/>
    <s v="Chargeur"/>
    <x v="12"/>
    <s v="-"/>
    <m/>
    <x v="150"/>
    <s v="echaffement du moteur"/>
    <s v="c"/>
    <x v="838"/>
    <m/>
    <n v="8550"/>
    <n v="9120"/>
    <x v="557"/>
    <x v="0"/>
    <m/>
    <x v="0"/>
    <x v="0"/>
  </r>
  <r>
    <x v="587"/>
    <x v="15"/>
    <s v="Chariot elevateur"/>
    <x v="10"/>
    <s v="-"/>
    <m/>
    <x v="138"/>
    <s v="moyeur de roue "/>
    <s v="c"/>
    <x v="839"/>
    <m/>
    <n v="1710"/>
    <n v="1710"/>
    <x v="558"/>
    <x v="0"/>
    <m/>
    <x v="0"/>
    <x v="0"/>
  </r>
  <r>
    <x v="587"/>
    <x v="28"/>
    <s v="Chariot elevateur"/>
    <x v="13"/>
    <s v="-"/>
    <m/>
    <x v="27"/>
    <s v="démarreur _x000a_"/>
    <s v="c"/>
    <x v="840"/>
    <m/>
    <n v="1140"/>
    <n v="1140"/>
    <x v="559"/>
    <x v="0"/>
    <m/>
    <x v="0"/>
    <x v="0"/>
  </r>
  <r>
    <x v="588"/>
    <x v="30"/>
    <s v="bus de trans siege "/>
    <x v="24"/>
    <s v=" "/>
    <m/>
    <x v="11"/>
    <s v="garniture de frein "/>
    <s v="c"/>
    <x v="841"/>
    <m/>
    <n v="2280"/>
    <n v="5700"/>
    <x v="560"/>
    <x v="0"/>
    <m/>
    <x v="0"/>
    <x v="0"/>
  </r>
  <r>
    <x v="589"/>
    <x v="11"/>
    <s v="Semi remorque"/>
    <x v="3"/>
    <s v="17886-A-73 "/>
    <m/>
    <x v="35"/>
    <s v="des lampes "/>
    <s v="c"/>
    <x v="135"/>
    <m/>
    <n v="120"/>
    <n v="120"/>
    <x v="559"/>
    <x v="0"/>
    <m/>
    <x v="0"/>
    <x v="0"/>
  </r>
  <r>
    <x v="589"/>
    <x v="30"/>
    <s v="linde sinastone"/>
    <x v="24"/>
    <s v=" "/>
    <m/>
    <x v="21"/>
    <s v="des joints "/>
    <s v="c"/>
    <x v="842"/>
    <m/>
    <n v="1140"/>
    <n v="1140"/>
    <x v="561"/>
    <x v="0"/>
    <m/>
    <x v="0"/>
    <x v="0"/>
  </r>
  <r>
    <x v="590"/>
    <x v="16"/>
    <s v="Camion"/>
    <x v="5"/>
    <s v="11470-A-73"/>
    <m/>
    <x v="23"/>
    <s v="tuyau "/>
    <s v="c"/>
    <x v="843"/>
    <m/>
    <n v="570"/>
    <n v="570"/>
    <x v="562"/>
    <x v="0"/>
    <m/>
    <x v="0"/>
    <x v="0"/>
  </r>
  <r>
    <x v="591"/>
    <x v="33"/>
    <s v="Chariot elevateur"/>
    <x v="18"/>
    <s v="-"/>
    <m/>
    <x v="57"/>
    <s v="des bagues "/>
    <s v="c"/>
    <x v="844"/>
    <m/>
    <n v="1140"/>
    <n v="1140"/>
    <x v="563"/>
    <x v="0"/>
    <m/>
    <x v="0"/>
    <x v="0"/>
  </r>
  <r>
    <x v="592"/>
    <x v="23"/>
    <s v="Semi remorque"/>
    <x v="6"/>
    <s v="706-A-73"/>
    <m/>
    <x v="11"/>
    <s v="venteuse de frein"/>
    <s v="c"/>
    <x v="845"/>
    <m/>
    <n v="180"/>
    <n v="180"/>
    <x v="563"/>
    <x v="0"/>
    <m/>
    <x v="0"/>
    <x v="0"/>
  </r>
  <r>
    <x v="593"/>
    <x v="10"/>
    <s v="Camion"/>
    <x v="8"/>
    <s v="25636-A-13"/>
    <m/>
    <x v="148"/>
    <s v="liquide de refroidissemnt "/>
    <s v="c"/>
    <x v="846"/>
    <m/>
    <n v="240"/>
    <n v="240"/>
    <x v="564"/>
    <x v="0"/>
    <m/>
    <x v="0"/>
    <x v="0"/>
  </r>
  <r>
    <x v="594"/>
    <x v="8"/>
    <s v="Semi remorque"/>
    <x v="6"/>
    <s v="28659-D-1 "/>
    <m/>
    <x v="0"/>
    <s v="vidange"/>
    <s v="P"/>
    <x v="847"/>
    <m/>
    <n v="120"/>
    <n v="120"/>
    <x v="565"/>
    <x v="0"/>
    <m/>
    <x v="0"/>
    <x v="0"/>
  </r>
  <r>
    <x v="595"/>
    <x v="12"/>
    <s v="Semi remorque"/>
    <x v="3"/>
    <s v="17885-A-73 "/>
    <m/>
    <x v="35"/>
    <s v="des lampes "/>
    <s v="c"/>
    <x v="812"/>
    <m/>
    <n v="180"/>
    <n v="180"/>
    <x v="566"/>
    <x v="0"/>
    <m/>
    <x v="0"/>
    <x v="0"/>
  </r>
  <r>
    <x v="595"/>
    <x v="23"/>
    <s v="Semi remorque"/>
    <x v="6"/>
    <s v="706-A-73"/>
    <m/>
    <x v="151"/>
    <s v="fixation du reservoire"/>
    <s v="c"/>
    <x v="848"/>
    <m/>
    <n v="360"/>
    <n v="360"/>
    <x v="567"/>
    <x v="0"/>
    <m/>
    <x v="0"/>
    <x v="0"/>
  </r>
  <r>
    <x v="596"/>
    <x v="7"/>
    <s v="Camion"/>
    <x v="5"/>
    <s v=" 11469-A-73"/>
    <m/>
    <x v="0"/>
    <s v="vidange"/>
    <s v="P"/>
    <x v="849"/>
    <m/>
    <n v="120"/>
    <n v="120"/>
    <x v="567"/>
    <x v="0"/>
    <m/>
    <x v="0"/>
    <x v="0"/>
  </r>
  <r>
    <x v="597"/>
    <x v="3"/>
    <s v="Camion"/>
    <x v="3"/>
    <s v="22300-A-73"/>
    <m/>
    <x v="148"/>
    <s v="refrigerant du moteur "/>
    <s v="c"/>
    <x v="850"/>
    <m/>
    <n v="1140"/>
    <n v="1140"/>
    <x v="568"/>
    <x v="0"/>
    <m/>
    <x v="0"/>
    <x v="0"/>
  </r>
  <r>
    <x v="598"/>
    <x v="4"/>
    <s v="Camion"/>
    <x v="3"/>
    <s v="22299-A-73"/>
    <m/>
    <x v="0"/>
    <s v="vidange"/>
    <m/>
    <x v="851"/>
    <m/>
    <n v="120"/>
    <n v="120"/>
    <x v="569"/>
    <x v="0"/>
    <m/>
    <x v="0"/>
    <x v="0"/>
  </r>
  <r>
    <x v="599"/>
    <x v="2"/>
    <s v="Chariot elevateur"/>
    <x v="2"/>
    <s v="-"/>
    <m/>
    <x v="148"/>
    <s v="ventilateur ede refroidissement "/>
    <s v="c"/>
    <x v="852"/>
    <m/>
    <n v="300"/>
    <n v="2280"/>
    <x v="570"/>
    <x v="0"/>
    <m/>
    <x v="0"/>
    <x v="0"/>
  </r>
  <r>
    <x v="600"/>
    <x v="19"/>
    <s v="Chargeur"/>
    <x v="12"/>
    <s v="-"/>
    <m/>
    <x v="21"/>
    <s v="des verins"/>
    <s v="c"/>
    <x v="853"/>
    <m/>
    <n v="2280"/>
    <n v="3420"/>
    <x v="571"/>
    <x v="0"/>
    <m/>
    <x v="0"/>
    <x v="0"/>
  </r>
  <r>
    <x v="600"/>
    <x v="17"/>
    <s v="Bus de transport"/>
    <x v="11"/>
    <s v="18516-A-73"/>
    <m/>
    <x v="25"/>
    <s v="peinture "/>
    <m/>
    <x v="854"/>
    <m/>
    <n v="1140"/>
    <n v="1140"/>
    <x v="572"/>
    <x v="0"/>
    <m/>
    <x v="0"/>
    <x v="0"/>
  </r>
  <r>
    <x v="601"/>
    <x v="17"/>
    <s v="Bus de transport"/>
    <x v="11"/>
    <s v="18516-A-73"/>
    <m/>
    <x v="152"/>
    <s v="garniturere de frein "/>
    <s v="c"/>
    <x v="855"/>
    <m/>
    <n v="3420"/>
    <n v="3420"/>
    <x v="572"/>
    <x v="0"/>
    <m/>
    <x v="0"/>
    <x v="0"/>
  </r>
  <r>
    <x v="601"/>
    <x v="40"/>
    <s v="Voiture de fonction"/>
    <x v="24"/>
    <s v=" "/>
    <m/>
    <x v="80"/>
    <s v="refroidissement erriguliaire "/>
    <s v="c"/>
    <x v="856"/>
    <m/>
    <m/>
    <m/>
    <x v="57"/>
    <x v="0"/>
    <m/>
    <x v="0"/>
    <x v="0"/>
  </r>
  <r>
    <x v="601"/>
    <x v="18"/>
    <s v="Camion"/>
    <x v="5"/>
    <s v="4969-A-73 "/>
    <m/>
    <x v="107"/>
    <s v="prise de force "/>
    <s v="c"/>
    <x v="857"/>
    <m/>
    <n v="1140"/>
    <n v="171"/>
    <x v="572"/>
    <x v="0"/>
    <m/>
    <x v="0"/>
    <x v="0"/>
  </r>
  <r>
    <x v="602"/>
    <x v="12"/>
    <s v="Semi remorque"/>
    <x v="3"/>
    <s v="17885-A-73 "/>
    <m/>
    <x v="35"/>
    <s v="des lampes "/>
    <s v="c"/>
    <x v="858"/>
    <m/>
    <n v="120"/>
    <n v="120"/>
    <x v="573"/>
    <x v="0"/>
    <m/>
    <x v="0"/>
    <x v="0"/>
  </r>
  <r>
    <x v="603"/>
    <x v="5"/>
    <s v="Semi remorque"/>
    <x v="3"/>
    <s v="70352-A-6"/>
    <m/>
    <x v="153"/>
    <s v="des brides de serrag"/>
    <s v="c"/>
    <x v="859"/>
    <m/>
    <m/>
    <m/>
    <x v="57"/>
    <x v="0"/>
    <m/>
    <x v="0"/>
    <x v="0"/>
  </r>
  <r>
    <x v="603"/>
    <x v="5"/>
    <s v="Semi remorque"/>
    <x v="3"/>
    <s v="70352-A-6"/>
    <m/>
    <x v="35"/>
    <s v="des lampes "/>
    <s v="c"/>
    <x v="135"/>
    <m/>
    <n v="240"/>
    <n v="240"/>
    <x v="570"/>
    <x v="0"/>
    <m/>
    <x v="0"/>
    <x v="0"/>
  </r>
  <r>
    <x v="603"/>
    <x v="16"/>
    <s v="Camion"/>
    <x v="5"/>
    <s v="11470-A-73"/>
    <m/>
    <x v="0"/>
    <s v="vidange"/>
    <s v="c"/>
    <x v="860"/>
    <m/>
    <n v="120"/>
    <n v="120"/>
    <x v="570"/>
    <x v="0"/>
    <m/>
    <x v="0"/>
    <x v="0"/>
  </r>
  <r>
    <x v="604"/>
    <x v="23"/>
    <s v="Semi remorque"/>
    <x v="6"/>
    <s v="706-A-73"/>
    <m/>
    <x v="154"/>
    <s v="fixation du reservoire gasoil "/>
    <s v="c"/>
    <x v="861"/>
    <m/>
    <n v="240"/>
    <n v="240"/>
    <x v="574"/>
    <x v="0"/>
    <m/>
    <x v="0"/>
    <x v="0"/>
  </r>
  <r>
    <x v="604"/>
    <x v="0"/>
    <s v="Voiture de fonction"/>
    <x v="0"/>
    <s v="981-A-73"/>
    <m/>
    <x v="155"/>
    <s v="des amortisseurs"/>
    <s v="c"/>
    <x v="862"/>
    <m/>
    <n v="3420"/>
    <n v="4560"/>
    <x v="575"/>
    <x v="0"/>
    <m/>
    <x v="0"/>
    <x v="0"/>
  </r>
  <r>
    <x v="605"/>
    <x v="29"/>
    <s v="Chariot elevateur"/>
    <x v="16"/>
    <s v="-"/>
    <m/>
    <x v="154"/>
    <s v="fuite au niveau du pompe a gasoil "/>
    <s v="c"/>
    <x v="863"/>
    <m/>
    <n v="1710"/>
    <n v="3420"/>
    <x v="575"/>
    <x v="0"/>
    <m/>
    <x v="0"/>
    <x v="0"/>
  </r>
  <r>
    <x v="606"/>
    <x v="19"/>
    <s v="Chargeur"/>
    <x v="12"/>
    <s v="-"/>
    <m/>
    <x v="21"/>
    <s v="des joints "/>
    <s v="c"/>
    <x v="864"/>
    <m/>
    <n v="570"/>
    <n v="570"/>
    <x v="576"/>
    <x v="0"/>
    <m/>
    <x v="0"/>
    <x v="0"/>
  </r>
  <r>
    <x v="607"/>
    <x v="12"/>
    <s v="Semi remorque"/>
    <x v="3"/>
    <s v="17885-A-73 "/>
    <m/>
    <x v="9"/>
    <s v="usure"/>
    <s v="c"/>
    <x v="865"/>
    <m/>
    <n v="240"/>
    <n v="240"/>
    <x v="577"/>
    <x v="0"/>
    <m/>
    <x v="0"/>
    <x v="0"/>
  </r>
  <r>
    <x v="607"/>
    <x v="7"/>
    <s v="Camion"/>
    <x v="5"/>
    <s v=" 11469-A-73"/>
    <m/>
    <x v="9"/>
    <s v="usure"/>
    <s v="c"/>
    <x v="865"/>
    <m/>
    <n v="240"/>
    <n v="240"/>
    <x v="577"/>
    <x v="0"/>
    <m/>
    <x v="0"/>
    <x v="0"/>
  </r>
  <r>
    <x v="608"/>
    <x v="3"/>
    <s v="Camion"/>
    <x v="3"/>
    <s v="22300-A-73"/>
    <m/>
    <x v="25"/>
    <s v="vitre avant "/>
    <s v="c"/>
    <x v="866"/>
    <m/>
    <n v="120"/>
    <n v="120"/>
    <x v="578"/>
    <x v="0"/>
    <m/>
    <x v="0"/>
    <x v="0"/>
  </r>
  <r>
    <x v="608"/>
    <x v="20"/>
    <s v="Camion"/>
    <x v="6"/>
    <s v="4790-B-8"/>
    <m/>
    <x v="156"/>
    <s v="battriue de démarrage "/>
    <s v="c"/>
    <x v="867"/>
    <m/>
    <n v="240"/>
    <n v="240"/>
    <x v="578"/>
    <x v="0"/>
    <m/>
    <x v="0"/>
    <x v="0"/>
  </r>
  <r>
    <x v="609"/>
    <x v="4"/>
    <s v="Camion"/>
    <x v="3"/>
    <s v="22299-A-73"/>
    <m/>
    <x v="21"/>
    <s v="joint du pompe"/>
    <s v="c"/>
    <x v="868"/>
    <m/>
    <n v="1140"/>
    <n v="2850"/>
    <x v="579"/>
    <x v="0"/>
    <m/>
    <x v="0"/>
    <x v="0"/>
  </r>
  <r>
    <x v="610"/>
    <x v="8"/>
    <s v="Semi remorque"/>
    <x v="6"/>
    <s v="28659-D-1 "/>
    <m/>
    <x v="157"/>
    <s v="garniture de frein"/>
    <s v="c"/>
    <x v="869"/>
    <m/>
    <n v="570"/>
    <n v="1140"/>
    <x v="580"/>
    <x v="0"/>
    <m/>
    <x v="0"/>
    <x v="0"/>
  </r>
  <r>
    <x v="611"/>
    <x v="11"/>
    <s v="Semi remorque"/>
    <x v="3"/>
    <s v="17886-A-73 "/>
    <m/>
    <x v="35"/>
    <s v="des lampes "/>
    <s v="c"/>
    <x v="870"/>
    <m/>
    <n v="120"/>
    <n v="120"/>
    <x v="581"/>
    <x v="0"/>
    <m/>
    <x v="0"/>
    <x v="0"/>
  </r>
  <r>
    <x v="612"/>
    <x v="28"/>
    <s v="Chariot elevateur"/>
    <x v="13"/>
    <s v="-"/>
    <m/>
    <x v="150"/>
    <s v="moteur "/>
    <s v="c"/>
    <x v="871"/>
    <m/>
    <n v="14820"/>
    <n v="14820"/>
    <x v="582"/>
    <x v="0"/>
    <m/>
    <x v="0"/>
    <x v="0"/>
  </r>
  <r>
    <x v="613"/>
    <x v="9"/>
    <s v="Bus de transport"/>
    <x v="7"/>
    <s v="22772-A-73"/>
    <m/>
    <x v="0"/>
    <s v="vidange"/>
    <s v="c"/>
    <x v="133"/>
    <m/>
    <n v="120"/>
    <n v="120"/>
    <x v="583"/>
    <x v="0"/>
    <m/>
    <x v="0"/>
    <x v="0"/>
  </r>
  <r>
    <x v="613"/>
    <x v="9"/>
    <s v="Bus de transport"/>
    <x v="7"/>
    <s v="22772-A-73"/>
    <m/>
    <x v="0"/>
    <s v="vidange"/>
    <s v="c"/>
    <x v="872"/>
    <m/>
    <n v="120"/>
    <n v="120"/>
    <x v="583"/>
    <x v="0"/>
    <m/>
    <x v="0"/>
    <x v="0"/>
  </r>
  <r>
    <x v="614"/>
    <x v="6"/>
    <s v="Pick up"/>
    <x v="4"/>
    <s v="22368-A-73"/>
    <m/>
    <x v="25"/>
    <s v="caisse d'outillage"/>
    <s v="c"/>
    <x v="873"/>
    <m/>
    <n v="570"/>
    <n v="570"/>
    <x v="584"/>
    <x v="0"/>
    <m/>
    <x v="0"/>
    <x v="0"/>
  </r>
  <r>
    <x v="614"/>
    <x v="17"/>
    <s v="Bus de transport"/>
    <x v="11"/>
    <s v="18516-A-73"/>
    <m/>
    <x v="25"/>
    <s v="peinture "/>
    <s v="c"/>
    <x v="874"/>
    <m/>
    <n v="570"/>
    <n v="570"/>
    <x v="585"/>
    <x v="0"/>
    <m/>
    <x v="0"/>
    <x v="0"/>
  </r>
  <r>
    <x v="615"/>
    <x v="1"/>
    <s v="Camion"/>
    <x v="1"/>
    <s v="26128-A-8"/>
    <m/>
    <x v="153"/>
    <s v="des element endommmagée "/>
    <s v="c"/>
    <x v="875"/>
    <m/>
    <n v="570"/>
    <n v="570"/>
    <x v="585"/>
    <x v="0"/>
    <m/>
    <x v="0"/>
    <x v="0"/>
  </r>
  <r>
    <x v="615"/>
    <x v="15"/>
    <s v="Chariot elevateur"/>
    <x v="10"/>
    <s v="-"/>
    <m/>
    <x v="4"/>
    <s v="moiteur endommage "/>
    <s v="c"/>
    <x v="876"/>
    <m/>
    <m/>
    <m/>
    <x v="57"/>
    <x v="0"/>
    <m/>
    <x v="0"/>
    <x v="0"/>
  </r>
  <r>
    <x v="615"/>
    <x v="20"/>
    <s v="Camion"/>
    <x v="6"/>
    <s v="4790-B-8"/>
    <m/>
    <x v="158"/>
    <s v="des battries"/>
    <s v="c"/>
    <x v="877"/>
    <m/>
    <n v="120"/>
    <n v="120"/>
    <x v="585"/>
    <x v="0"/>
    <m/>
    <x v="0"/>
    <x v="0"/>
  </r>
  <r>
    <x v="615"/>
    <x v="12"/>
    <s v="Semi remorque"/>
    <x v="3"/>
    <s v="17885-A-73 "/>
    <m/>
    <x v="35"/>
    <s v="des lampes "/>
    <s v="c"/>
    <x v="135"/>
    <m/>
    <n v="120"/>
    <n v="120"/>
    <x v="585"/>
    <x v="0"/>
    <m/>
    <x v="0"/>
    <x v="0"/>
  </r>
  <r>
    <x v="615"/>
    <x v="26"/>
    <s v="Chariot elevateur"/>
    <x v="15"/>
    <s v="-"/>
    <m/>
    <x v="0"/>
    <s v="vidange "/>
    <s v="P"/>
    <x v="878"/>
    <m/>
    <n v="240"/>
    <n v="240"/>
    <x v="585"/>
    <x v="0"/>
    <m/>
    <x v="0"/>
    <x v="0"/>
  </r>
  <r>
    <x v="616"/>
    <x v="19"/>
    <s v="Chargeur"/>
    <x v="12"/>
    <s v="-"/>
    <m/>
    <x v="107"/>
    <s v="cardon de transmission"/>
    <s v="c"/>
    <x v="879"/>
    <m/>
    <n v="1140"/>
    <n v="1140"/>
    <x v="586"/>
    <x v="0"/>
    <m/>
    <x v="0"/>
    <x v="0"/>
  </r>
  <r>
    <x v="617"/>
    <x v="2"/>
    <s v="Chariot elevateur"/>
    <x v="2"/>
    <s v="-"/>
    <m/>
    <x v="0"/>
    <s v="vidange"/>
    <s v="c"/>
    <x v="880"/>
    <m/>
    <m/>
    <m/>
    <x v="57"/>
    <x v="0"/>
    <m/>
    <x v="0"/>
    <x v="0"/>
  </r>
  <r>
    <x v="618"/>
    <x v="16"/>
    <s v="Camion"/>
    <x v="5"/>
    <s v="11470-A-73"/>
    <m/>
    <x v="0"/>
    <s v="vidange"/>
    <s v="c"/>
    <x v="881"/>
    <m/>
    <n v="240"/>
    <n v="240"/>
    <x v="587"/>
    <x v="0"/>
    <m/>
    <x v="0"/>
    <x v="0"/>
  </r>
  <r>
    <x v="619"/>
    <x v="23"/>
    <s v="Semi remorque"/>
    <x v="6"/>
    <s v="706-A-73"/>
    <m/>
    <x v="27"/>
    <s v="des cosses battrie "/>
    <s v="c"/>
    <x v="882"/>
    <m/>
    <n v="240"/>
    <n v="240"/>
    <x v="588"/>
    <x v="0"/>
    <m/>
    <x v="0"/>
    <x v="0"/>
  </r>
  <r>
    <x v="619"/>
    <x v="38"/>
    <s v="Voiture de fonction"/>
    <x v="25"/>
    <s v="4812-A-73"/>
    <m/>
    <x v="0"/>
    <s v="vidange"/>
    <s v="P"/>
    <x v="883"/>
    <m/>
    <m/>
    <m/>
    <x v="57"/>
    <x v="0"/>
    <m/>
    <x v="0"/>
    <x v="0"/>
  </r>
  <r>
    <x v="620"/>
    <x v="0"/>
    <s v="Voiture de fonction"/>
    <x v="0"/>
    <s v="981-A-73"/>
    <m/>
    <x v="11"/>
    <s v="des plaquette de fren"/>
    <s v="c"/>
    <x v="884"/>
    <m/>
    <n v="570"/>
    <n v="570"/>
    <x v="589"/>
    <x v="0"/>
    <m/>
    <x v="0"/>
    <x v="0"/>
  </r>
  <r>
    <x v="620"/>
    <x v="19"/>
    <s v="Chargeur"/>
    <x v="12"/>
    <s v="-"/>
    <m/>
    <x v="107"/>
    <s v="cardon de transmission"/>
    <s v="c"/>
    <x v="885"/>
    <m/>
    <n v="570"/>
    <n v="570"/>
    <x v="590"/>
    <x v="0"/>
    <m/>
    <x v="0"/>
    <x v="0"/>
  </r>
  <r>
    <x v="621"/>
    <x v="3"/>
    <s v="Camion"/>
    <x v="3"/>
    <s v="22300-A-73"/>
    <m/>
    <x v="94"/>
    <s v="prise de force "/>
    <s v="c"/>
    <x v="886"/>
    <m/>
    <n v="1140"/>
    <n v="1140"/>
    <x v="591"/>
    <x v="0"/>
    <m/>
    <x v="0"/>
    <x v="0"/>
  </r>
  <r>
    <x v="621"/>
    <x v="8"/>
    <s v="Semi remorque"/>
    <x v="6"/>
    <s v="28659-D-1 "/>
    <m/>
    <x v="35"/>
    <s v="des lampes "/>
    <s v="c"/>
    <x v="135"/>
    <m/>
    <n v="120"/>
    <n v="120"/>
    <x v="592"/>
    <x v="0"/>
    <m/>
    <x v="0"/>
    <x v="0"/>
  </r>
  <r>
    <x v="622"/>
    <x v="16"/>
    <s v="Camion"/>
    <x v="5"/>
    <s v="11470-A-73"/>
    <m/>
    <x v="159"/>
    <s v="filtre a huile "/>
    <s v="c"/>
    <x v="887"/>
    <s v=" "/>
    <n v="570"/>
    <n v="570"/>
    <x v="593"/>
    <x v="0"/>
    <m/>
    <x v="0"/>
    <x v="0"/>
  </r>
  <r>
    <x v="622"/>
    <x v="15"/>
    <s v="Chariot elevateur"/>
    <x v="10"/>
    <s v="-"/>
    <m/>
    <x v="160"/>
    <s v="des kit réparation verin "/>
    <s v="c"/>
    <x v="26"/>
    <m/>
    <m/>
    <m/>
    <x v="57"/>
    <x v="0"/>
    <m/>
    <x v="0"/>
    <x v="0"/>
  </r>
  <r>
    <x v="623"/>
    <x v="40"/>
    <s v=""/>
    <x v="24"/>
    <s v=" "/>
    <m/>
    <x v="35"/>
    <s v="optique avant "/>
    <s v="c"/>
    <x v="888"/>
    <m/>
    <n v="240"/>
    <n v="240"/>
    <x v="594"/>
    <x v="0"/>
    <m/>
    <x v="0"/>
    <x v="0"/>
  </r>
  <r>
    <x v="623"/>
    <x v="23"/>
    <s v="Semi remorque"/>
    <x v="6"/>
    <s v="706-A-73"/>
    <m/>
    <x v="154"/>
    <s v="reservoire de gasoil "/>
    <s v="c"/>
    <x v="889"/>
    <m/>
    <n v="570"/>
    <n v="570"/>
    <x v="594"/>
    <x v="0"/>
    <m/>
    <x v="0"/>
    <x v="0"/>
  </r>
  <r>
    <x v="624"/>
    <x v="7"/>
    <s v="Camion"/>
    <x v="5"/>
    <s v=" 11469-A-73"/>
    <m/>
    <x v="0"/>
    <s v="vidange"/>
    <s v="P"/>
    <x v="890"/>
    <m/>
    <n v="240"/>
    <n v="240"/>
    <x v="594"/>
    <x v="0"/>
    <m/>
    <x v="0"/>
    <x v="0"/>
  </r>
  <r>
    <x v="624"/>
    <x v="23"/>
    <s v="Semi remorque"/>
    <x v="6"/>
    <s v="706-A-73"/>
    <m/>
    <x v="154"/>
    <s v="reservoire de gasoil "/>
    <s v="c"/>
    <x v="891"/>
    <m/>
    <n v="1140"/>
    <n v="1140"/>
    <x v="595"/>
    <x v="0"/>
    <m/>
    <x v="0"/>
    <x v="0"/>
  </r>
  <r>
    <x v="625"/>
    <x v="20"/>
    <s v="Camion"/>
    <x v="6"/>
    <s v="4790-B-8"/>
    <m/>
    <x v="161"/>
    <s v="radiateur "/>
    <s v="c"/>
    <x v="892"/>
    <m/>
    <n v="1140"/>
    <n v="1140"/>
    <x v="596"/>
    <x v="0"/>
    <m/>
    <x v="0"/>
    <x v="0"/>
  </r>
  <r>
    <x v="626"/>
    <x v="16"/>
    <s v="Camion"/>
    <x v="5"/>
    <s v="11470-A-73"/>
    <m/>
    <x v="31"/>
    <s v="pompe a eau "/>
    <s v="c"/>
    <x v="250"/>
    <m/>
    <n v="570"/>
    <n v="570"/>
    <x v="597"/>
    <x v="0"/>
    <m/>
    <x v="0"/>
    <x v="0"/>
  </r>
  <r>
    <x v="627"/>
    <x v="20"/>
    <s v="Camion"/>
    <x v="6"/>
    <s v="4790-B-8"/>
    <m/>
    <x v="31"/>
    <s v="radiateur "/>
    <s v="c"/>
    <x v="893"/>
    <m/>
    <n v="1140"/>
    <n v="1140"/>
    <x v="596"/>
    <x v="0"/>
    <m/>
    <x v="0"/>
    <x v="0"/>
  </r>
  <r>
    <x v="627"/>
    <x v="16"/>
    <s v="Camion"/>
    <x v="5"/>
    <s v="11470-A-73"/>
    <m/>
    <x v="31"/>
    <s v="pompe a eau "/>
    <s v="c"/>
    <x v="894"/>
    <m/>
    <n v="1140"/>
    <n v="1140"/>
    <x v="598"/>
    <x v="0"/>
    <m/>
    <x v="0"/>
    <x v="0"/>
  </r>
  <r>
    <x v="627"/>
    <x v="45"/>
    <s v=""/>
    <x v="24"/>
    <s v=" "/>
    <m/>
    <x v="25"/>
    <s v="pare brise avant "/>
    <s v="c"/>
    <x v="895"/>
    <m/>
    <n v="570"/>
    <n v="570"/>
    <x v="599"/>
    <x v="0"/>
    <m/>
    <x v="0"/>
    <x v="0"/>
  </r>
  <r>
    <x v="628"/>
    <x v="4"/>
    <s v="Camion"/>
    <x v="3"/>
    <s v="22299-A-73"/>
    <m/>
    <x v="28"/>
    <s v="tuyau d'air "/>
    <s v="c"/>
    <x v="896"/>
    <m/>
    <n v="240"/>
    <n v="240"/>
    <x v="598"/>
    <x v="0"/>
    <m/>
    <x v="0"/>
    <x v="0"/>
  </r>
  <r>
    <x v="628"/>
    <x v="4"/>
    <s v="Camion"/>
    <x v="3"/>
    <s v="22299-A-73"/>
    <m/>
    <x v="22"/>
    <s v="klaxon"/>
    <s v="c"/>
    <x v="897"/>
    <m/>
    <n v="240"/>
    <n v="240"/>
    <x v="598"/>
    <x v="0"/>
    <m/>
    <x v="0"/>
    <x v="0"/>
  </r>
  <r>
    <x v="628"/>
    <x v="23"/>
    <s v="Semi remorque"/>
    <x v="6"/>
    <s v="706-A-73"/>
    <m/>
    <x v="32"/>
    <s v="canal du gaszoil "/>
    <s v="c"/>
    <x v="898"/>
    <m/>
    <n v="120"/>
    <n v="120"/>
    <x v="598"/>
    <x v="0"/>
    <m/>
    <x v="0"/>
    <x v="0"/>
  </r>
  <r>
    <x v="628"/>
    <x v="4"/>
    <s v="Camion"/>
    <x v="3"/>
    <s v="22299-A-73"/>
    <m/>
    <x v="162"/>
    <s v="klaxon"/>
    <s v="c"/>
    <x v="899"/>
    <m/>
    <n v="240"/>
    <n v="240"/>
    <x v="598"/>
    <x v="0"/>
    <m/>
    <x v="0"/>
    <x v="0"/>
  </r>
  <r>
    <x v="628"/>
    <x v="29"/>
    <s v="Chariot elevateur"/>
    <x v="16"/>
    <s v="-"/>
    <m/>
    <x v="35"/>
    <s v="des lampes "/>
    <s v="c"/>
    <x v="135"/>
    <m/>
    <n v="120"/>
    <n v="120"/>
    <x v="598"/>
    <x v="0"/>
    <m/>
    <x v="0"/>
    <x v="0"/>
  </r>
  <r>
    <x v="628"/>
    <x v="23"/>
    <s v="Semi remorque"/>
    <x v="6"/>
    <s v="706-A-73"/>
    <m/>
    <x v="163"/>
    <s v="tecalent "/>
    <s v="c"/>
    <x v="152"/>
    <m/>
    <n v="120"/>
    <n v="120"/>
    <x v="598"/>
    <x v="0"/>
    <m/>
    <x v="0"/>
    <x v="0"/>
  </r>
  <r>
    <x v="629"/>
    <x v="1"/>
    <s v="Camion"/>
    <x v="1"/>
    <s v="26128-A-8"/>
    <m/>
    <x v="9"/>
    <s v="usure"/>
    <s v="c"/>
    <x v="900"/>
    <m/>
    <n v="570"/>
    <n v="570"/>
    <x v="600"/>
    <x v="0"/>
    <m/>
    <x v="0"/>
    <x v="0"/>
  </r>
  <r>
    <x v="629"/>
    <x v="42"/>
    <s v="Chariot elevateur"/>
    <x v="28"/>
    <n v="0"/>
    <m/>
    <x v="0"/>
    <s v="mise a niveau"/>
    <s v="P"/>
    <x v="16"/>
    <m/>
    <n v="60"/>
    <n v="60"/>
    <x v="57"/>
    <x v="0"/>
    <m/>
    <x v="0"/>
    <x v="0"/>
  </r>
  <r>
    <x v="630"/>
    <x v="10"/>
    <s v="Camion"/>
    <x v="8"/>
    <s v="25636-A-13"/>
    <m/>
    <x v="0"/>
    <s v="vidange "/>
    <s v="P"/>
    <x v="901"/>
    <m/>
    <n v="120"/>
    <n v="120"/>
    <x v="601"/>
    <x v="0"/>
    <m/>
    <x v="0"/>
    <x v="0"/>
  </r>
  <r>
    <x v="631"/>
    <x v="8"/>
    <s v="Semi remorque"/>
    <x v="6"/>
    <s v="28659-D-1 "/>
    <m/>
    <x v="35"/>
    <s v="des lampes "/>
    <s v="c"/>
    <x v="135"/>
    <m/>
    <n v="240"/>
    <n v="240"/>
    <x v="602"/>
    <x v="0"/>
    <m/>
    <x v="0"/>
    <x v="0"/>
  </r>
  <r>
    <x v="632"/>
    <x v="19"/>
    <s v="Chargeur"/>
    <x v="12"/>
    <s v="-"/>
    <m/>
    <x v="164"/>
    <s v="fuite d'huile"/>
    <s v="c"/>
    <x v="902"/>
    <m/>
    <n v="420"/>
    <n v="420"/>
    <x v="603"/>
    <x v="0"/>
    <m/>
    <x v="0"/>
    <x v="0"/>
  </r>
  <r>
    <x v="633"/>
    <x v="4"/>
    <s v="Camion"/>
    <x v="3"/>
    <s v="22299-A-73"/>
    <m/>
    <x v="157"/>
    <s v="des plaquetyte de frein "/>
    <s v="c"/>
    <x v="903"/>
    <m/>
    <n v="1140"/>
    <n v="1140"/>
    <x v="604"/>
    <x v="0"/>
    <m/>
    <x v="0"/>
    <x v="0"/>
  </r>
  <r>
    <x v="633"/>
    <x v="12"/>
    <s v="Semi remorque"/>
    <x v="3"/>
    <s v="17885-A-73 "/>
    <m/>
    <x v="28"/>
    <s v="venteuse de cabine "/>
    <s v="c"/>
    <x v="904"/>
    <m/>
    <n v="240"/>
    <n v="240"/>
    <x v="605"/>
    <x v="0"/>
    <m/>
    <x v="0"/>
    <x v="0"/>
  </r>
  <r>
    <x v="633"/>
    <x v="8"/>
    <s v="Semi remorque"/>
    <x v="6"/>
    <s v="28659-D-1 "/>
    <m/>
    <x v="23"/>
    <s v="tuyau d'air "/>
    <s v="c"/>
    <x v="905"/>
    <m/>
    <n v="570"/>
    <n v="570"/>
    <x v="603"/>
    <x v="0"/>
    <m/>
    <x v="0"/>
    <x v="0"/>
  </r>
  <r>
    <x v="633"/>
    <x v="46"/>
    <s v="MANITOU"/>
    <x v="24"/>
    <s v=" "/>
    <m/>
    <x v="165"/>
    <s v="plexyglace "/>
    <s v="c"/>
    <x v="906"/>
    <m/>
    <n v="570"/>
    <n v="570"/>
    <x v="605"/>
    <x v="0"/>
    <m/>
    <x v="0"/>
    <x v="0"/>
  </r>
  <r>
    <x v="634"/>
    <x v="28"/>
    <s v="Chariot elevateur"/>
    <x v="13"/>
    <s v="-"/>
    <m/>
    <x v="0"/>
    <s v="vidange"/>
    <s v="c"/>
    <x v="907"/>
    <m/>
    <n v="240"/>
    <n v="240"/>
    <x v="605"/>
    <x v="0"/>
    <m/>
    <x v="0"/>
    <x v="0"/>
  </r>
  <r>
    <x v="635"/>
    <x v="8"/>
    <s v="Semi remorque"/>
    <x v="6"/>
    <s v="28659-D-1 "/>
    <m/>
    <x v="0"/>
    <s v="antigel"/>
    <s v="c"/>
    <x v="908"/>
    <m/>
    <n v="240"/>
    <n v="240"/>
    <x v="604"/>
    <x v="0"/>
    <m/>
    <x v="0"/>
    <x v="0"/>
  </r>
  <r>
    <x v="635"/>
    <x v="28"/>
    <s v="Chariot elevateur"/>
    <x v="13"/>
    <s v="-"/>
    <m/>
    <x v="158"/>
    <s v="des cosses battrie "/>
    <s v="c"/>
    <x v="909"/>
    <m/>
    <n v="60"/>
    <n v="60"/>
    <x v="604"/>
    <x v="0"/>
    <m/>
    <x v="0"/>
    <x v="0"/>
  </r>
  <r>
    <x v="636"/>
    <x v="29"/>
    <s v="Chariot elevateur"/>
    <x v="16"/>
    <s v="-"/>
    <m/>
    <x v="166"/>
    <s v="courroie"/>
    <s v="c"/>
    <x v="831"/>
    <m/>
    <n v="60"/>
    <n v="60"/>
    <x v="606"/>
    <x v="0"/>
    <m/>
    <x v="0"/>
    <x v="0"/>
  </r>
  <r>
    <x v="637"/>
    <x v="7"/>
    <s v="Camion"/>
    <x v="5"/>
    <s v=" 11469-A-73"/>
    <m/>
    <x v="21"/>
    <s v="flexible percé"/>
    <s v="c"/>
    <x v="910"/>
    <m/>
    <n v="1140"/>
    <n v="1140"/>
    <x v="607"/>
    <x v="0"/>
    <m/>
    <x v="0"/>
    <x v="0"/>
  </r>
  <r>
    <x v="637"/>
    <x v="23"/>
    <s v="Semi remorque"/>
    <x v="6"/>
    <s v="706-A-73"/>
    <m/>
    <x v="28"/>
    <s v="venteuse de frein "/>
    <s v="c"/>
    <x v="911"/>
    <m/>
    <n v="120"/>
    <n v="120"/>
    <x v="607"/>
    <x v="0"/>
    <m/>
    <x v="0"/>
    <x v="0"/>
  </r>
  <r>
    <x v="638"/>
    <x v="10"/>
    <s v="Camion"/>
    <x v="8"/>
    <s v="25636-A-13"/>
    <m/>
    <x v="167"/>
    <s v="cartyer d'huile "/>
    <m/>
    <x v="912"/>
    <m/>
    <n v="1140"/>
    <n v="1140"/>
    <x v="608"/>
    <x v="0"/>
    <m/>
    <x v="0"/>
    <x v="0"/>
  </r>
  <r>
    <x v="638"/>
    <x v="11"/>
    <s v="Semi remorque"/>
    <x v="3"/>
    <s v="17886-A-73 "/>
    <m/>
    <x v="35"/>
    <s v="des feu rouge "/>
    <s v="c"/>
    <x v="913"/>
    <m/>
    <n v="240"/>
    <n v="240"/>
    <x v="607"/>
    <x v="0"/>
    <m/>
    <x v="0"/>
    <x v="0"/>
  </r>
  <r>
    <x v="639"/>
    <x v="27"/>
    <s v="Voiture de fonction"/>
    <x v="0"/>
    <s v=" 9660 -A-73"/>
    <m/>
    <x v="0"/>
    <s v="vidange"/>
    <s v="P"/>
    <x v="914"/>
    <m/>
    <n v="120"/>
    <n v="120"/>
    <x v="609"/>
    <x v="0"/>
    <m/>
    <x v="0"/>
    <x v="0"/>
  </r>
  <r>
    <x v="639"/>
    <x v="24"/>
    <s v="Voiture de fonction"/>
    <x v="0"/>
    <s v="10551-A-73"/>
    <m/>
    <x v="153"/>
    <s v="des rotules"/>
    <s v="c"/>
    <x v="915"/>
    <m/>
    <n v="2280"/>
    <n v="2280"/>
    <x v="610"/>
    <x v="0"/>
    <m/>
    <x v="0"/>
    <x v="0"/>
  </r>
  <r>
    <x v="639"/>
    <x v="0"/>
    <s v="Voiture de fonction"/>
    <x v="0"/>
    <s v="981-A-73"/>
    <m/>
    <x v="153"/>
    <s v="des rotules"/>
    <s v="c"/>
    <x v="916"/>
    <m/>
    <n v="2280"/>
    <n v="2280"/>
    <x v="611"/>
    <x v="0"/>
    <m/>
    <x v="0"/>
    <x v="0"/>
  </r>
  <r>
    <x v="639"/>
    <x v="16"/>
    <s v="Camion"/>
    <x v="5"/>
    <s v="11470-A-73"/>
    <m/>
    <x v="46"/>
    <s v="barre de direction "/>
    <s v="c"/>
    <x v="917"/>
    <m/>
    <n v="120"/>
    <n v="120"/>
    <x v="612"/>
    <x v="0"/>
    <m/>
    <x v="0"/>
    <x v="0"/>
  </r>
  <r>
    <x v="640"/>
    <x v="31"/>
    <s v="Voiture de fonction"/>
    <x v="0"/>
    <s v="50313-A-6"/>
    <m/>
    <x v="25"/>
    <s v="peinture "/>
    <s v="c"/>
    <x v="918"/>
    <m/>
    <n v="2280"/>
    <n v="2280"/>
    <x v="613"/>
    <x v="0"/>
    <m/>
    <x v="0"/>
    <x v="0"/>
  </r>
  <r>
    <x v="641"/>
    <x v="4"/>
    <s v="Camion"/>
    <x v="3"/>
    <s v="22299-A-73"/>
    <m/>
    <x v="28"/>
    <s v="dessicateur d'air "/>
    <s v="c"/>
    <x v="919"/>
    <m/>
    <n v="240"/>
    <n v="240"/>
    <x v="614"/>
    <x v="0"/>
    <m/>
    <x v="0"/>
    <x v="0"/>
  </r>
  <r>
    <x v="642"/>
    <x v="4"/>
    <s v="Camion"/>
    <x v="3"/>
    <s v="22299-A-73"/>
    <m/>
    <x v="0"/>
    <s v="vidange "/>
    <s v="c"/>
    <x v="920"/>
    <m/>
    <n v="120"/>
    <n v="120"/>
    <x v="615"/>
    <x v="0"/>
    <m/>
    <x v="0"/>
    <x v="0"/>
  </r>
  <r>
    <x v="643"/>
    <x v="19"/>
    <s v="Chargeur"/>
    <x v="12"/>
    <s v="-"/>
    <m/>
    <x v="31"/>
    <s v="pipe d'eau "/>
    <s v="c"/>
    <x v="921"/>
    <m/>
    <n v="240"/>
    <n v="240"/>
    <x v="611"/>
    <x v="0"/>
    <m/>
    <x v="0"/>
    <x v="0"/>
  </r>
  <r>
    <x v="644"/>
    <x v="8"/>
    <s v="Semi remorque"/>
    <x v="6"/>
    <s v="28659-D-1 "/>
    <m/>
    <x v="168"/>
    <s v="refrigerant du moteur "/>
    <s v="c"/>
    <x v="922"/>
    <m/>
    <n v="570"/>
    <n v="570"/>
    <x v="616"/>
    <x v="0"/>
    <m/>
    <x v="0"/>
    <x v="0"/>
  </r>
  <r>
    <x v="644"/>
    <x v="29"/>
    <s v="Chariot elevateur"/>
    <x v="16"/>
    <s v="-"/>
    <m/>
    <x v="31"/>
    <s v="pompe a eau"/>
    <s v="c"/>
    <x v="923"/>
    <m/>
    <n v="2240"/>
    <n v="2240"/>
    <x v="617"/>
    <x v="0"/>
    <m/>
    <x v="0"/>
    <x v="0"/>
  </r>
  <r>
    <x v="645"/>
    <x v="5"/>
    <s v="Semi remorque"/>
    <x v="3"/>
    <s v="70352-A-6"/>
    <m/>
    <x v="28"/>
    <s v="tuyau d'air "/>
    <s v="c"/>
    <x v="924"/>
    <m/>
    <n v="120"/>
    <n v="120"/>
    <x v="618"/>
    <x v="0"/>
    <m/>
    <x v="0"/>
    <x v="0"/>
  </r>
  <r>
    <x v="646"/>
    <x v="23"/>
    <s v="Semi remorque"/>
    <x v="6"/>
    <s v="706-A-73"/>
    <m/>
    <x v="27"/>
    <s v="des cosse battrie "/>
    <s v="c"/>
    <x v="925"/>
    <m/>
    <n v="120"/>
    <n v="120"/>
    <x v="607"/>
    <x v="0"/>
    <m/>
    <x v="0"/>
    <x v="0"/>
  </r>
  <r>
    <x v="646"/>
    <x v="12"/>
    <s v="Semi remorque"/>
    <x v="3"/>
    <s v="17885-A-73 "/>
    <m/>
    <x v="0"/>
    <s v="vidange"/>
    <s v="c"/>
    <x v="926"/>
    <m/>
    <n v="120"/>
    <n v="120"/>
    <x v="607"/>
    <x v="0"/>
    <m/>
    <x v="0"/>
    <x v="0"/>
  </r>
  <r>
    <x v="646"/>
    <x v="23"/>
    <s v="Semi remorque"/>
    <x v="6"/>
    <s v="706-A-73"/>
    <m/>
    <x v="11"/>
    <s v="garniture de frein "/>
    <s v="c"/>
    <x v="927"/>
    <m/>
    <n v="3420"/>
    <n v="3420"/>
    <x v="619"/>
    <x v="0"/>
    <m/>
    <x v="0"/>
    <x v="0"/>
  </r>
  <r>
    <x v="647"/>
    <x v="7"/>
    <s v="Camion"/>
    <x v="5"/>
    <s v=" 11469-A-73"/>
    <m/>
    <x v="157"/>
    <s v="garniture de frein "/>
    <s v="c"/>
    <x v="928"/>
    <m/>
    <n v="1720"/>
    <n v="1720"/>
    <x v="620"/>
    <x v="0"/>
    <m/>
    <x v="0"/>
    <x v="0"/>
  </r>
  <r>
    <x v="648"/>
    <x v="3"/>
    <s v="Camion"/>
    <x v="3"/>
    <s v="22300-A-73"/>
    <m/>
    <x v="35"/>
    <s v="des lampes "/>
    <s v="c"/>
    <x v="929"/>
    <m/>
    <n v="240"/>
    <n v="240"/>
    <x v="620"/>
    <x v="0"/>
    <m/>
    <x v="0"/>
    <x v="0"/>
  </r>
  <r>
    <x v="649"/>
    <x v="12"/>
    <s v="Semi remorque"/>
    <x v="3"/>
    <s v="17885-A-73 "/>
    <m/>
    <x v="0"/>
    <s v="vidange"/>
    <s v="P"/>
    <x v="930"/>
    <m/>
    <n v="240"/>
    <n v="240"/>
    <x v="619"/>
    <x v="0"/>
    <m/>
    <x v="0"/>
    <x v="0"/>
  </r>
  <r>
    <x v="650"/>
    <x v="15"/>
    <s v="Chariot elevateur"/>
    <x v="10"/>
    <s v="-"/>
    <m/>
    <x v="4"/>
    <s v="moteur endommage"/>
    <s v="c"/>
    <x v="931"/>
    <m/>
    <n v="8550"/>
    <n v="8550"/>
    <x v="621"/>
    <x v="0"/>
    <m/>
    <x v="0"/>
    <x v="0"/>
  </r>
  <r>
    <x v="651"/>
    <x v="11"/>
    <s v="Semi remorque"/>
    <x v="3"/>
    <s v="17886-A-73 "/>
    <m/>
    <x v="0"/>
    <s v="vidange "/>
    <s v="P"/>
    <x v="932"/>
    <m/>
    <n v="240"/>
    <n v="240"/>
    <x v="622"/>
    <x v="0"/>
    <m/>
    <x v="0"/>
    <x v="0"/>
  </r>
  <r>
    <x v="652"/>
    <x v="20"/>
    <s v="Camion"/>
    <x v="6"/>
    <s v="4790-B-8"/>
    <m/>
    <x v="27"/>
    <s v="electrique "/>
    <s v="P"/>
    <x v="933"/>
    <m/>
    <n v="570"/>
    <n v="570"/>
    <x v="623"/>
    <x v="0"/>
    <m/>
    <x v="0"/>
    <x v="0"/>
  </r>
  <r>
    <x v="653"/>
    <x v="2"/>
    <s v="Chariot elevateur"/>
    <x v="2"/>
    <s v="-"/>
    <m/>
    <x v="169"/>
    <s v="galet de rampe "/>
    <s v="c"/>
    <x v="934"/>
    <m/>
    <n v="240"/>
    <n v="240"/>
    <x v="624"/>
    <x v="0"/>
    <m/>
    <x v="0"/>
    <x v="0"/>
  </r>
  <r>
    <x v="653"/>
    <x v="19"/>
    <s v="Chargeur"/>
    <x v="12"/>
    <s v="-"/>
    <m/>
    <x v="168"/>
    <s v="joint culasse "/>
    <s v="c"/>
    <x v="935"/>
    <m/>
    <n v="2850"/>
    <n v="2850"/>
    <x v="625"/>
    <x v="0"/>
    <m/>
    <x v="0"/>
    <x v="0"/>
  </r>
  <r>
    <x v="653"/>
    <x v="11"/>
    <s v="Semi remorque"/>
    <x v="3"/>
    <s v="17886-A-73 "/>
    <m/>
    <x v="35"/>
    <s v="des lampes "/>
    <s v="c"/>
    <x v="936"/>
    <m/>
    <n v="1140"/>
    <n v="1140"/>
    <x v="626"/>
    <x v="0"/>
    <m/>
    <x v="0"/>
    <x v="0"/>
  </r>
  <r>
    <x v="654"/>
    <x v="8"/>
    <s v="Semi remorque"/>
    <x v="6"/>
    <s v="28659-D-1 "/>
    <m/>
    <x v="0"/>
    <s v="vidange "/>
    <s v="P"/>
    <x v="937"/>
    <m/>
    <n v="240"/>
    <n v="240"/>
    <x v="627"/>
    <x v="0"/>
    <m/>
    <x v="0"/>
    <x v="0"/>
  </r>
  <r>
    <x v="655"/>
    <x v="3"/>
    <s v="Camion"/>
    <x v="3"/>
    <s v="22300-A-73"/>
    <m/>
    <x v="170"/>
    <s v="moteur de leve glace "/>
    <s v="c"/>
    <x v="938"/>
    <m/>
    <n v="570"/>
    <n v="570"/>
    <x v="627"/>
    <x v="0"/>
    <m/>
    <x v="0"/>
    <x v="0"/>
  </r>
  <r>
    <x v="656"/>
    <x v="23"/>
    <s v="Semi remorque"/>
    <x v="6"/>
    <s v="706-A-73"/>
    <m/>
    <x v="28"/>
    <s v="venteuse de frein "/>
    <m/>
    <x v="939"/>
    <m/>
    <n v="570"/>
    <n v="570"/>
    <x v="628"/>
    <x v="0"/>
    <m/>
    <x v="0"/>
    <x v="0"/>
  </r>
  <r>
    <x v="657"/>
    <x v="5"/>
    <s v="Semi remorque"/>
    <x v="3"/>
    <s v="70352-A-6"/>
    <m/>
    <x v="171"/>
    <s v="appareille d'air "/>
    <s v="c"/>
    <x v="940"/>
    <m/>
    <n v="570"/>
    <n v="570"/>
    <x v="629"/>
    <x v="0"/>
    <m/>
    <x v="0"/>
    <x v="0"/>
  </r>
  <r>
    <x v="658"/>
    <x v="10"/>
    <s v="Camion"/>
    <x v="8"/>
    <s v="25636-A-13"/>
    <m/>
    <x v="11"/>
    <s v="etrier de frein "/>
    <s v="c"/>
    <x v="941"/>
    <m/>
    <n v="2280"/>
    <n v="3420"/>
    <x v="630"/>
    <x v="0"/>
    <m/>
    <x v="0"/>
    <x v="0"/>
  </r>
  <r>
    <x v="658"/>
    <x v="0"/>
    <s v="Voiture de fonction"/>
    <x v="0"/>
    <s v="981-A-73"/>
    <m/>
    <x v="25"/>
    <s v="peinture "/>
    <s v="c"/>
    <x v="942"/>
    <m/>
    <n v="5700"/>
    <n v="5700"/>
    <x v="631"/>
    <x v="0"/>
    <m/>
    <x v="0"/>
    <x v="0"/>
  </r>
  <r>
    <x v="659"/>
    <x v="4"/>
    <s v="Camion"/>
    <x v="3"/>
    <s v="22299-A-73"/>
    <m/>
    <x v="149"/>
    <s v="diagnostique "/>
    <s v="c"/>
    <x v="943"/>
    <m/>
    <n v="2280"/>
    <n v="2280"/>
    <x v="630"/>
    <x v="0"/>
    <m/>
    <x v="0"/>
    <x v="0"/>
  </r>
  <r>
    <x v="660"/>
    <x v="23"/>
    <s v="Semi remorque"/>
    <x v="6"/>
    <s v="706-A-73"/>
    <m/>
    <x v="149"/>
    <s v="diagnostique "/>
    <s v="c"/>
    <x v="944"/>
    <m/>
    <n v="570"/>
    <n v="570"/>
    <x v="632"/>
    <x v="0"/>
    <m/>
    <x v="0"/>
    <x v="0"/>
  </r>
  <r>
    <x v="660"/>
    <x v="5"/>
    <s v="Semi remorque"/>
    <x v="3"/>
    <s v="70352-A-6"/>
    <m/>
    <x v="172"/>
    <s v="appareille d'air "/>
    <s v="c"/>
    <x v="945"/>
    <m/>
    <n v="1140"/>
    <n v="1140"/>
    <x v="633"/>
    <x v="0"/>
    <m/>
    <x v="0"/>
    <x v="0"/>
  </r>
  <r>
    <x v="661"/>
    <x v="15"/>
    <s v="Chariot elevateur"/>
    <x v="10"/>
    <s v="-"/>
    <m/>
    <x v="150"/>
    <s v="moiteur endommage "/>
    <s v="c"/>
    <x v="946"/>
    <m/>
    <n v="11250"/>
    <n v="11250"/>
    <x v="634"/>
    <x v="0"/>
    <m/>
    <x v="0"/>
    <x v="0"/>
  </r>
  <r>
    <x v="662"/>
    <x v="13"/>
    <s v="Camion"/>
    <x v="5"/>
    <s v="4703-A-73"/>
    <m/>
    <x v="11"/>
    <s v="des garniture de frein "/>
    <s v="c"/>
    <x v="947"/>
    <m/>
    <n v="5700"/>
    <n v="570"/>
    <x v="635"/>
    <x v="0"/>
    <m/>
    <x v="0"/>
    <x v="0"/>
  </r>
  <r>
    <x v="663"/>
    <x v="17"/>
    <s v="Bus de transport"/>
    <x v="11"/>
    <s v="18516-A-73"/>
    <m/>
    <x v="153"/>
    <s v="des amortisseurs"/>
    <s v="c"/>
    <x v="948"/>
    <m/>
    <n v="1140"/>
    <n v="1140"/>
    <x v="636"/>
    <x v="0"/>
    <m/>
    <x v="0"/>
    <x v="0"/>
  </r>
  <r>
    <x v="664"/>
    <x v="7"/>
    <s v="Camion"/>
    <x v="5"/>
    <s v=" 11469-A-73"/>
    <m/>
    <x v="173"/>
    <s v="arrét d'huuile moteur"/>
    <s v="c"/>
    <x v="949"/>
    <m/>
    <n v="1140"/>
    <n v="1140"/>
    <x v="636"/>
    <x v="0"/>
    <m/>
    <x v="0"/>
    <x v="0"/>
  </r>
  <r>
    <x v="665"/>
    <x v="20"/>
    <s v="Camion"/>
    <x v="6"/>
    <s v="4790-B-8"/>
    <m/>
    <x v="103"/>
    <s v="arbre prim BV"/>
    <s v="c"/>
    <x v="950"/>
    <m/>
    <n v="5700"/>
    <n v="5700"/>
    <x v="637"/>
    <x v="0"/>
    <m/>
    <x v="0"/>
    <x v="0"/>
  </r>
  <r>
    <x v="666"/>
    <x v="4"/>
    <s v="Camion"/>
    <x v="3"/>
    <s v="22299-A-73"/>
    <m/>
    <x v="28"/>
    <s v="cerveau dembrayage  "/>
    <s v="c"/>
    <x v="951"/>
    <m/>
    <n v="570"/>
    <n v="570"/>
    <x v="634"/>
    <x v="0"/>
    <m/>
    <x v="0"/>
    <x v="0"/>
  </r>
  <r>
    <x v="667"/>
    <x v="8"/>
    <s v="Semi remorque"/>
    <x v="6"/>
    <s v="28659-D-1 "/>
    <m/>
    <x v="172"/>
    <s v="venteuse du cabine "/>
    <s v="c"/>
    <x v="952"/>
    <m/>
    <n v="570"/>
    <n v="570"/>
    <x v="634"/>
    <x v="0"/>
    <m/>
    <x v="0"/>
    <x v="0"/>
  </r>
  <r>
    <x v="668"/>
    <x v="29"/>
    <s v="Chariot elevateur"/>
    <x v="16"/>
    <s v="-"/>
    <m/>
    <x v="31"/>
    <s v="durite d'eau "/>
    <s v="c"/>
    <x v="531"/>
    <m/>
    <n v="2280"/>
    <n v="2280"/>
    <x v="638"/>
    <x v="0"/>
    <m/>
    <x v="0"/>
    <x v="0"/>
  </r>
  <r>
    <x v="669"/>
    <x v="18"/>
    <s v="Camion"/>
    <x v="5"/>
    <s v="4969-A-73 "/>
    <m/>
    <x v="168"/>
    <s v="pompe d'eambrayage "/>
    <s v="c"/>
    <x v="953"/>
    <m/>
    <n v="1710"/>
    <n v="1710"/>
    <x v="639"/>
    <x v="0"/>
    <m/>
    <x v="0"/>
    <x v="0"/>
  </r>
  <r>
    <x v="670"/>
    <x v="8"/>
    <s v="Semi remorque"/>
    <x v="6"/>
    <s v="28659-D-1 "/>
    <m/>
    <x v="149"/>
    <s v="diagnostique "/>
    <s v="c"/>
    <x v="954"/>
    <m/>
    <n v="3420"/>
    <n v="3420"/>
    <x v="640"/>
    <x v="0"/>
    <m/>
    <x v="0"/>
    <x v="0"/>
  </r>
  <r>
    <x v="670"/>
    <x v="20"/>
    <s v="Camion"/>
    <x v="6"/>
    <s v="4790-B-8"/>
    <m/>
    <x v="149"/>
    <s v="diagnostique "/>
    <s v="c"/>
    <x v="955"/>
    <m/>
    <n v="3990"/>
    <n v="3990"/>
    <x v="641"/>
    <x v="0"/>
    <m/>
    <x v="0"/>
    <x v="0"/>
  </r>
  <r>
    <x v="671"/>
    <x v="29"/>
    <s v="Chariot elevateur"/>
    <x v="16"/>
    <s v="-"/>
    <m/>
    <x v="174"/>
    <s v="pompe a eau "/>
    <s v="c"/>
    <x v="250"/>
    <m/>
    <n v="5700"/>
    <n v="5700"/>
    <x v="642"/>
    <x v="0"/>
    <m/>
    <x v="0"/>
    <x v="0"/>
  </r>
  <r>
    <x v="672"/>
    <x v="7"/>
    <s v="Camion"/>
    <x v="5"/>
    <s v=" 11469-A-73"/>
    <m/>
    <x v="154"/>
    <s v="pompe a gasoil "/>
    <s v="c"/>
    <x v="956"/>
    <m/>
    <n v="2852"/>
    <n v="2850"/>
    <x v="641"/>
    <x v="0"/>
    <m/>
    <x v="0"/>
    <x v="0"/>
  </r>
  <r>
    <x v="673"/>
    <x v="13"/>
    <s v="Camion"/>
    <x v="5"/>
    <s v="4703-A-73"/>
    <m/>
    <x v="174"/>
    <s v="radiateur "/>
    <s v="c"/>
    <x v="517"/>
    <m/>
    <n v="1140"/>
    <n v="1140"/>
    <x v="642"/>
    <x v="0"/>
    <m/>
    <x v="0"/>
    <x v="0"/>
  </r>
  <r>
    <x v="674"/>
    <x v="1"/>
    <s v="Camion"/>
    <x v="1"/>
    <s v="26128-A-8"/>
    <m/>
    <x v="7"/>
    <s v="disque d'embrayage "/>
    <s v="c"/>
    <x v="957"/>
    <m/>
    <n v="5700"/>
    <n v="5700"/>
    <x v="643"/>
    <x v="0"/>
    <m/>
    <x v="0"/>
    <x v="0"/>
  </r>
  <r>
    <x v="675"/>
    <x v="20"/>
    <s v="Camion"/>
    <x v="6"/>
    <s v="4790-B-8"/>
    <m/>
    <x v="153"/>
    <s v="des ressort a lame "/>
    <s v="c"/>
    <x v="958"/>
    <m/>
    <n v="1140"/>
    <n v="1140"/>
    <x v="644"/>
    <x v="0"/>
    <m/>
    <x v="0"/>
    <x v="0"/>
  </r>
  <r>
    <x v="676"/>
    <x v="4"/>
    <s v="Camion"/>
    <x v="3"/>
    <s v="22299-A-73"/>
    <m/>
    <x v="149"/>
    <s v="probleme d'ABS"/>
    <s v="c"/>
    <x v="959"/>
    <m/>
    <n v="3420"/>
    <n v="3420"/>
    <x v="645"/>
    <x v="0"/>
    <m/>
    <x v="0"/>
    <x v="0"/>
  </r>
  <r>
    <x v="677"/>
    <x v="30"/>
    <s v="dacia khalil "/>
    <x v="24"/>
    <s v=" "/>
    <m/>
    <x v="153"/>
    <s v="des chappes de direction "/>
    <s v="c"/>
    <x v="960"/>
    <m/>
    <n v="3420"/>
    <n v="3420"/>
    <x v="646"/>
    <x v="0"/>
    <m/>
    <x v="0"/>
    <x v="0"/>
  </r>
  <r>
    <x v="678"/>
    <x v="10"/>
    <s v="Camion"/>
    <x v="8"/>
    <s v="25636-A-13"/>
    <m/>
    <x v="157"/>
    <s v="des plaquette de fren"/>
    <s v="c"/>
    <x v="961"/>
    <m/>
    <n v="1140"/>
    <n v="1140"/>
    <x v="647"/>
    <x v="0"/>
    <m/>
    <x v="0"/>
    <x v="0"/>
  </r>
  <r>
    <x v="679"/>
    <x v="23"/>
    <s v="Semi remorque"/>
    <x v="6"/>
    <s v="706-A-73"/>
    <m/>
    <x v="149"/>
    <s v="diagnostique "/>
    <s v="c"/>
    <x v="962"/>
    <m/>
    <n v="57000"/>
    <n v="5700"/>
    <x v="648"/>
    <x v="0"/>
    <m/>
    <x v="0"/>
    <x v="0"/>
  </r>
  <r>
    <x v="679"/>
    <x v="20"/>
    <s v="Camion"/>
    <x v="6"/>
    <s v="4790-B-8"/>
    <m/>
    <x v="175"/>
    <s v="arrét moteur"/>
    <s v="c"/>
    <x v="963"/>
    <m/>
    <n v="1140"/>
    <n v="1140"/>
    <x v="649"/>
    <x v="0"/>
    <m/>
    <x v="0"/>
    <x v="0"/>
  </r>
  <r>
    <x v="680"/>
    <x v="3"/>
    <s v="Camion"/>
    <x v="3"/>
    <s v="22300-A-73"/>
    <m/>
    <x v="11"/>
    <s v="des plaquette defrein "/>
    <s v="c"/>
    <x v="964"/>
    <m/>
    <n v="1140"/>
    <n v="1140"/>
    <x v="650"/>
    <x v="0"/>
    <m/>
    <x v="0"/>
    <x v="0"/>
  </r>
  <r>
    <x v="680"/>
    <x v="39"/>
    <s v="Chargeur"/>
    <x v="12"/>
    <s v="-"/>
    <m/>
    <x v="149"/>
    <s v="démarrage "/>
    <s v="c"/>
    <x v="965"/>
    <m/>
    <n v="120"/>
    <n v="121"/>
    <x v="649"/>
    <x v="0"/>
    <m/>
    <x v="0"/>
    <x v="0"/>
  </r>
  <r>
    <x v="680"/>
    <x v="3"/>
    <s v="Camion"/>
    <x v="3"/>
    <s v="22300-A-73"/>
    <m/>
    <x v="9"/>
    <s v="usure"/>
    <s v="c"/>
    <x v="966"/>
    <m/>
    <n v="570"/>
    <n v="570"/>
    <x v="649"/>
    <x v="0"/>
    <m/>
    <x v="0"/>
    <x v="0"/>
  </r>
  <r>
    <x v="680"/>
    <x v="8"/>
    <s v="Semi remorque"/>
    <x v="6"/>
    <s v="28659-D-1 "/>
    <m/>
    <x v="149"/>
    <s v="diagnostique "/>
    <s v="c"/>
    <x v="967"/>
    <m/>
    <n v="1710"/>
    <n v="1710"/>
    <x v="651"/>
    <x v="0"/>
    <m/>
    <x v="0"/>
    <x v="0"/>
  </r>
  <r>
    <x v="681"/>
    <x v="22"/>
    <s v="Chariot elevateur"/>
    <x v="14"/>
    <s v="-"/>
    <m/>
    <x v="4"/>
    <s v="ususre des pieces "/>
    <s v="c"/>
    <x v="968"/>
    <m/>
    <n v="11400"/>
    <n v="11400"/>
    <x v="652"/>
    <x v="0"/>
    <m/>
    <x v="0"/>
    <x v="0"/>
  </r>
  <r>
    <x v="681"/>
    <x v="16"/>
    <s v="Camion"/>
    <x v="5"/>
    <s v="11470-A-73"/>
    <m/>
    <x v="176"/>
    <s v="arbre primaire "/>
    <s v="c"/>
    <x v="969"/>
    <m/>
    <n v="1710"/>
    <n v="1710"/>
    <x v="653"/>
    <x v="0"/>
    <m/>
    <x v="0"/>
    <x v="0"/>
  </r>
  <r>
    <x v="682"/>
    <x v="1"/>
    <s v="Camion"/>
    <x v="1"/>
    <s v="26128-A-8"/>
    <m/>
    <x v="11"/>
    <s v="des garnitures de frein "/>
    <s v="c"/>
    <x v="970"/>
    <m/>
    <n v="14810"/>
    <n v="14810"/>
    <x v="654"/>
    <x v="0"/>
    <m/>
    <x v="0"/>
    <x v="0"/>
  </r>
  <r>
    <x v="683"/>
    <x v="2"/>
    <s v="Chariot elevateur"/>
    <x v="2"/>
    <s v="-"/>
    <m/>
    <x v="149"/>
    <s v="diagnostique "/>
    <s v="c"/>
    <x v="971"/>
    <m/>
    <n v="5700"/>
    <n v="5700"/>
    <x v="655"/>
    <x v="0"/>
    <m/>
    <x v="0"/>
    <x v="0"/>
  </r>
  <r>
    <x v="683"/>
    <x v="23"/>
    <s v="Semi remorque"/>
    <x v="6"/>
    <s v="706-A-73"/>
    <m/>
    <x v="7"/>
    <s v="disque d'elmbrayage"/>
    <s v="c"/>
    <x v="972"/>
    <m/>
    <n v="5130"/>
    <n v="5130"/>
    <x v="656"/>
    <x v="0"/>
    <m/>
    <x v="0"/>
    <x v="0"/>
  </r>
  <r>
    <x v="684"/>
    <x v="32"/>
    <s v="Chariot elevateur"/>
    <x v="2"/>
    <s v="-"/>
    <m/>
    <x v="177"/>
    <m/>
    <s v="c"/>
    <x v="973"/>
    <m/>
    <n v="570"/>
    <n v="570"/>
    <x v="657"/>
    <x v="0"/>
    <m/>
    <x v="0"/>
    <x v="0"/>
  </r>
  <r>
    <x v="685"/>
    <x v="31"/>
    <s v="Voiture de fonction"/>
    <x v="0"/>
    <s v="50313-A-6"/>
    <m/>
    <x v="153"/>
    <s v="des amortisseurs"/>
    <s v="c"/>
    <x v="974"/>
    <m/>
    <n v="3420"/>
    <n v="3420"/>
    <x v="658"/>
    <x v="0"/>
    <m/>
    <x v="0"/>
    <x v="0"/>
  </r>
  <r>
    <x v="686"/>
    <x v="19"/>
    <s v="Chargeur"/>
    <x v="12"/>
    <s v="-"/>
    <m/>
    <x v="164"/>
    <s v="duritte hydraulique"/>
    <s v="c"/>
    <x v="975"/>
    <m/>
    <n v="1710"/>
    <n v="1710"/>
    <x v="659"/>
    <x v="0"/>
    <m/>
    <x v="0"/>
    <x v="0"/>
  </r>
  <r>
    <x v="686"/>
    <x v="11"/>
    <s v="Semi remorque"/>
    <x v="3"/>
    <s v="17886-A-73 "/>
    <m/>
    <x v="153"/>
    <s v="des lames "/>
    <s v="c"/>
    <x v="958"/>
    <m/>
    <n v="1740"/>
    <n v="1740"/>
    <x v="660"/>
    <x v="0"/>
    <m/>
    <x v="0"/>
    <x v="0"/>
  </r>
  <r>
    <x v="687"/>
    <x v="5"/>
    <s v="Semi remorque"/>
    <x v="3"/>
    <s v="70352-A-6"/>
    <m/>
    <x v="67"/>
    <s v="contact de démarrage "/>
    <s v="c"/>
    <x v="976"/>
    <m/>
    <n v="1710"/>
    <n v="1710"/>
    <x v="661"/>
    <x v="0"/>
    <m/>
    <x v="0"/>
    <x v="0"/>
  </r>
  <r>
    <x v="688"/>
    <x v="23"/>
    <s v="Semi remorque"/>
    <x v="6"/>
    <s v="706-A-73"/>
    <m/>
    <x v="178"/>
    <s v="changement d'appareille d'air"/>
    <s v="c"/>
    <x v="977"/>
    <m/>
    <n v="1140"/>
    <n v="1140"/>
    <x v="661"/>
    <x v="0"/>
    <m/>
    <x v="0"/>
    <x v="0"/>
  </r>
  <r>
    <x v="689"/>
    <x v="11"/>
    <s v="Semi remorque"/>
    <x v="3"/>
    <s v="17886-A-73 "/>
    <m/>
    <x v="24"/>
    <s v="eclairage "/>
    <s v="c"/>
    <x v="135"/>
    <m/>
    <n v="240"/>
    <n v="240"/>
    <x v="662"/>
    <x v="0"/>
    <m/>
    <x v="0"/>
    <x v="0"/>
  </r>
  <r>
    <x v="689"/>
    <x v="22"/>
    <s v="Chariot elevateur"/>
    <x v="14"/>
    <s v="-"/>
    <m/>
    <x v="179"/>
    <s v="mise a nouveau"/>
    <s v="c"/>
    <x v="978"/>
    <m/>
    <n v="14820"/>
    <n v="14820"/>
    <x v="663"/>
    <x v="0"/>
    <m/>
    <x v="0"/>
    <x v="0"/>
  </r>
  <r>
    <x v="690"/>
    <x v="8"/>
    <s v="Semi remorque"/>
    <x v="6"/>
    <s v="28659-D-1 "/>
    <m/>
    <x v="28"/>
    <s v="tuyau percé "/>
    <s v="c"/>
    <x v="979"/>
    <m/>
    <n v="120"/>
    <n v="120"/>
    <x v="664"/>
    <x v="0"/>
    <m/>
    <x v="0"/>
    <x v="0"/>
  </r>
  <r>
    <x v="691"/>
    <x v="23"/>
    <s v="Semi remorque"/>
    <x v="6"/>
    <s v="706-A-73"/>
    <m/>
    <x v="23"/>
    <s v="venteuse de frein "/>
    <s v="c"/>
    <x v="980"/>
    <m/>
    <n v="240"/>
    <n v="240"/>
    <x v="665"/>
    <x v="0"/>
    <m/>
    <x v="0"/>
    <x v="0"/>
  </r>
  <r>
    <x v="692"/>
    <x v="8"/>
    <s v="Semi remorque"/>
    <x v="6"/>
    <s v="28659-D-1 "/>
    <m/>
    <x v="11"/>
    <s v="fuite d'air "/>
    <s v="c"/>
    <x v="911"/>
    <m/>
    <n v="240"/>
    <n v="240"/>
    <x v="666"/>
    <x v="0"/>
    <m/>
    <x v="0"/>
    <x v="0"/>
  </r>
  <r>
    <x v="693"/>
    <x v="8"/>
    <s v="Semi remorque"/>
    <x v="6"/>
    <s v="28659-D-1 "/>
    <m/>
    <x v="11"/>
    <s v="fuite d'air "/>
    <s v="c"/>
    <x v="911"/>
    <m/>
    <n v="240"/>
    <n v="240"/>
    <x v="667"/>
    <x v="0"/>
    <m/>
    <x v="0"/>
    <x v="0"/>
  </r>
  <r>
    <x v="694"/>
    <x v="10"/>
    <s v="Camion"/>
    <x v="8"/>
    <s v="25636-A-13"/>
    <m/>
    <x v="4"/>
    <s v="pieces usee"/>
    <s v="c"/>
    <x v="981"/>
    <m/>
    <n v="8550"/>
    <n v="8550"/>
    <x v="663"/>
    <x v="0"/>
    <m/>
    <x v="0"/>
    <x v="0"/>
  </r>
  <r>
    <x v="695"/>
    <x v="0"/>
    <s v="Voiture de fonction"/>
    <x v="0"/>
    <s v="981-A-73"/>
    <m/>
    <x v="179"/>
    <s v=" courroie "/>
    <s v="c"/>
    <x v="982"/>
    <m/>
    <n v="570"/>
    <n v="570"/>
    <x v="668"/>
    <x v="0"/>
    <m/>
    <x v="0"/>
    <x v="0"/>
  </r>
  <r>
    <x v="696"/>
    <x v="8"/>
    <s v="Semi remorque"/>
    <x v="6"/>
    <s v="28659-D-1 "/>
    <m/>
    <x v="0"/>
    <s v="vidange"/>
    <s v="c"/>
    <x v="983"/>
    <m/>
    <n v="120"/>
    <n v="120"/>
    <x v="669"/>
    <x v="0"/>
    <m/>
    <x v="0"/>
    <x v="0"/>
  </r>
  <r>
    <x v="697"/>
    <x v="13"/>
    <s v="Camion"/>
    <x v="5"/>
    <s v="4703-A-73"/>
    <m/>
    <x v="0"/>
    <s v="vidange"/>
    <s v="c"/>
    <x v="983"/>
    <m/>
    <n v="60"/>
    <n v="60"/>
    <x v="670"/>
    <x v="0"/>
    <m/>
    <x v="0"/>
    <x v="0"/>
  </r>
  <r>
    <x v="697"/>
    <x v="5"/>
    <s v="Semi remorque"/>
    <x v="3"/>
    <s v="70352-A-6"/>
    <m/>
    <x v="67"/>
    <s v="contact de démarrage "/>
    <s v="c"/>
    <x v="984"/>
    <m/>
    <n v="60"/>
    <n v="60"/>
    <x v="670"/>
    <x v="0"/>
    <m/>
    <x v="0"/>
    <x v="0"/>
  </r>
  <r>
    <x v="697"/>
    <x v="12"/>
    <s v="Semi remorque"/>
    <x v="3"/>
    <s v="17885-A-73 "/>
    <m/>
    <x v="180"/>
    <s v="eclairage "/>
    <s v="c"/>
    <x v="135"/>
    <m/>
    <n v="120"/>
    <n v="120"/>
    <x v="670"/>
    <x v="0"/>
    <m/>
    <x v="0"/>
    <x v="0"/>
  </r>
  <r>
    <x v="698"/>
    <x v="38"/>
    <s v="Voiture de fonction"/>
    <x v="25"/>
    <s v="4812-A-73"/>
    <m/>
    <x v="0"/>
    <s v="vidange"/>
    <s v="c"/>
    <x v="985"/>
    <m/>
    <n v="120"/>
    <n v="120"/>
    <x v="671"/>
    <x v="0"/>
    <m/>
    <x v="0"/>
    <x v="0"/>
  </r>
  <r>
    <x v="698"/>
    <x v="23"/>
    <s v="Semi remorque"/>
    <x v="6"/>
    <s v="706-A-73"/>
    <m/>
    <x v="157"/>
    <s v="venteuse de frein "/>
    <s v="c"/>
    <x v="986"/>
    <m/>
    <n v="570"/>
    <n v="570"/>
    <x v="671"/>
    <x v="0"/>
    <m/>
    <x v="0"/>
    <x v="0"/>
  </r>
  <r>
    <x v="699"/>
    <x v="11"/>
    <s v="Semi remorque"/>
    <x v="3"/>
    <s v="17886-A-73 "/>
    <m/>
    <x v="24"/>
    <s v="eclairrage"/>
    <s v="c"/>
    <x v="987"/>
    <m/>
    <n v="240"/>
    <n v="240"/>
    <x v="672"/>
    <x v="0"/>
    <m/>
    <x v="0"/>
    <x v="0"/>
  </r>
  <r>
    <x v="699"/>
    <x v="19"/>
    <s v="Chargeur"/>
    <x v="12"/>
    <s v="-"/>
    <m/>
    <x v="0"/>
    <s v="vidange "/>
    <s v="P"/>
    <x v="985"/>
    <m/>
    <n v="240"/>
    <n v="240"/>
    <x v="672"/>
    <x v="0"/>
    <m/>
    <x v="0"/>
    <x v="0"/>
  </r>
  <r>
    <x v="700"/>
    <x v="11"/>
    <s v="Semi remorque"/>
    <x v="3"/>
    <s v="17886-A-73 "/>
    <m/>
    <x v="0"/>
    <s v="vidange"/>
    <s v="P"/>
    <x v="988"/>
    <m/>
    <n v="120"/>
    <n v="120"/>
    <x v="673"/>
    <x v="0"/>
    <m/>
    <x v="0"/>
    <x v="0"/>
  </r>
  <r>
    <x v="701"/>
    <x v="16"/>
    <s v="Camion"/>
    <x v="5"/>
    <s v="11470-A-73"/>
    <m/>
    <x v="9"/>
    <s v="usure"/>
    <s v="c"/>
    <x v="547"/>
    <m/>
    <n v="240"/>
    <n v="240"/>
    <x v="664"/>
    <x v="0"/>
    <m/>
    <x v="0"/>
    <x v="0"/>
  </r>
  <r>
    <x v="702"/>
    <x v="32"/>
    <s v="Chariot elevateur"/>
    <x v="2"/>
    <s v="-"/>
    <m/>
    <x v="4"/>
    <s v="huile moteur "/>
    <s v="c"/>
    <x v="989"/>
    <m/>
    <n v="5700"/>
    <n v="5700"/>
    <x v="674"/>
    <x v="0"/>
    <m/>
    <x v="0"/>
    <x v="0"/>
  </r>
  <r>
    <x v="702"/>
    <x v="4"/>
    <s v="Camion"/>
    <x v="3"/>
    <s v="22299-A-73"/>
    <m/>
    <x v="4"/>
    <s v="joint culasse "/>
    <s v="c"/>
    <x v="990"/>
    <m/>
    <n v="5700"/>
    <n v="5700"/>
    <x v="675"/>
    <x v="0"/>
    <m/>
    <x v="0"/>
    <x v="0"/>
  </r>
  <r>
    <x v="703"/>
    <x v="4"/>
    <s v="Camion"/>
    <x v="3"/>
    <s v="22299-A-73"/>
    <m/>
    <x v="9"/>
    <s v="usure"/>
    <s v="c"/>
    <x v="991"/>
    <m/>
    <n v="120"/>
    <n v="120"/>
    <x v="676"/>
    <x v="0"/>
    <m/>
    <x v="0"/>
    <x v="0"/>
  </r>
  <r>
    <x v="704"/>
    <x v="3"/>
    <s v="Camion"/>
    <x v="3"/>
    <s v="22300-A-73"/>
    <m/>
    <x v="181"/>
    <s v="usure"/>
    <s v="c"/>
    <x v="992"/>
    <m/>
    <n v="1140"/>
    <n v="1140"/>
    <x v="674"/>
    <x v="0"/>
    <m/>
    <x v="0"/>
    <x v="0"/>
  </r>
  <r>
    <x v="705"/>
    <x v="9"/>
    <s v="Bus de transport"/>
    <x v="7"/>
    <s v="22772-A-73"/>
    <m/>
    <x v="25"/>
    <s v="peinture "/>
    <s v="c"/>
    <x v="993"/>
    <m/>
    <n v="5700"/>
    <n v="5700"/>
    <x v="677"/>
    <x v="0"/>
    <m/>
    <x v="0"/>
    <x v="0"/>
  </r>
  <r>
    <x v="705"/>
    <x v="8"/>
    <s v="Semi remorque"/>
    <x v="6"/>
    <s v="28659-D-1 "/>
    <m/>
    <x v="182"/>
    <s v="usure "/>
    <s v="c"/>
    <x v="994"/>
    <m/>
    <n v="2280"/>
    <n v="2280"/>
    <x v="678"/>
    <x v="0"/>
    <m/>
    <x v="0"/>
    <x v="0"/>
  </r>
  <r>
    <x v="705"/>
    <x v="15"/>
    <s v="Chariot elevateur"/>
    <x v="10"/>
    <s v="-"/>
    <m/>
    <x v="70"/>
    <s v="ventilateur de refroidissement"/>
    <s v="c"/>
    <x v="995"/>
    <m/>
    <n v="2280"/>
    <n v="2280"/>
    <x v="678"/>
    <x v="0"/>
    <m/>
    <x v="0"/>
    <x v="0"/>
  </r>
  <r>
    <x v="706"/>
    <x v="11"/>
    <s v="Semi remorque"/>
    <x v="3"/>
    <s v="17886-A-73 "/>
    <m/>
    <x v="24"/>
    <s v="eclairagee"/>
    <s v="c"/>
    <x v="996"/>
    <m/>
    <n v="120"/>
    <n v="120"/>
    <x v="679"/>
    <x v="0"/>
    <m/>
    <x v="0"/>
    <x v="0"/>
  </r>
  <r>
    <x v="707"/>
    <x v="27"/>
    <s v="Voiture de fonction"/>
    <x v="0"/>
    <s v=" 9660 -A-73"/>
    <m/>
    <x v="7"/>
    <s v="kit dembrayage usée "/>
    <s v="c"/>
    <x v="997"/>
    <m/>
    <n v="1140"/>
    <n v="1140"/>
    <x v="680"/>
    <x v="0"/>
    <m/>
    <x v="0"/>
    <x v="0"/>
  </r>
  <r>
    <x v="707"/>
    <x v="9"/>
    <s v="Bus de transport"/>
    <x v="7"/>
    <s v="22772-A-73"/>
    <m/>
    <x v="157"/>
    <s v="garniture de frein"/>
    <s v="c"/>
    <x v="998"/>
    <m/>
    <n v="1140"/>
    <n v="1140"/>
    <x v="677"/>
    <x v="0"/>
    <m/>
    <x v="0"/>
    <x v="0"/>
  </r>
  <r>
    <x v="708"/>
    <x v="5"/>
    <s v="Semi remorque"/>
    <x v="3"/>
    <s v="70352-A-6"/>
    <m/>
    <x v="183"/>
    <s v="cardon "/>
    <s v="c"/>
    <x v="999"/>
    <n v="431"/>
    <n v="540"/>
    <n v="1080"/>
    <x v="681"/>
    <x v="0"/>
    <m/>
    <x v="0"/>
    <x v="0"/>
  </r>
  <r>
    <x v="708"/>
    <x v="9"/>
    <s v="Bus de transport"/>
    <x v="7"/>
    <s v="22772-A-73"/>
    <m/>
    <x v="183"/>
    <s v="Freinage "/>
    <s v="C "/>
    <x v="1000"/>
    <s v="3947/4233"/>
    <n v="360"/>
    <n v="1620"/>
    <x v="682"/>
    <x v="0"/>
    <m/>
    <x v="0"/>
    <x v="0"/>
  </r>
  <r>
    <x v="709"/>
    <x v="4"/>
    <s v="Camion"/>
    <x v="3"/>
    <s v="22299-A-73"/>
    <m/>
    <x v="183"/>
    <s v="probleme au niveau du moteur  "/>
    <s v="c"/>
    <x v="1001"/>
    <n v="4105"/>
    <n v="1620"/>
    <n v="2700"/>
    <x v="683"/>
    <x v="0"/>
    <m/>
    <x v="0"/>
    <x v="0"/>
  </r>
  <r>
    <x v="709"/>
    <x v="42"/>
    <s v="Chariot elevateur"/>
    <x v="28"/>
    <n v="0"/>
    <m/>
    <x v="183"/>
    <s v="fuite d'huile hyd"/>
    <s v="c"/>
    <x v="183"/>
    <s v="SRV"/>
    <n v="180"/>
    <n v="240"/>
    <x v="681"/>
    <x v="0"/>
    <m/>
    <x v="0"/>
    <x v="0"/>
  </r>
  <r>
    <x v="709"/>
    <x v="22"/>
    <s v="Chariot elevateur"/>
    <x v="14"/>
    <s v="-"/>
    <m/>
    <x v="184"/>
    <s v="panne electrique "/>
    <s v="C "/>
    <x v="1002"/>
    <m/>
    <n v="120"/>
    <n v="1080"/>
    <x v="681"/>
    <x v="0"/>
    <m/>
    <x v="0"/>
    <x v="0"/>
  </r>
  <r>
    <x v="709"/>
    <x v="6"/>
    <s v="Pick up"/>
    <x v="4"/>
    <s v="22368-A-73"/>
    <m/>
    <x v="183"/>
    <s v="bruit au niveau du roue AV.D"/>
    <s v="C "/>
    <x v="1003"/>
    <m/>
    <n v="2160"/>
    <n v="2160"/>
    <x v="681"/>
    <x v="0"/>
    <m/>
    <x v="1"/>
    <x v="1"/>
  </r>
  <r>
    <x v="710"/>
    <x v="13"/>
    <s v="Camion"/>
    <x v="5"/>
    <s v="4703-A-73"/>
    <m/>
    <x v="24"/>
    <s v="eclairage "/>
    <s v="c"/>
    <x v="1004"/>
    <n v="4014"/>
    <n v="120"/>
    <n v="120"/>
    <x v="684"/>
    <x v="0"/>
    <m/>
    <x v="0"/>
    <x v="0"/>
  </r>
  <r>
    <x v="710"/>
    <x v="22"/>
    <s v="Chariot elevateur"/>
    <x v="14"/>
    <s v="-"/>
    <m/>
    <x v="183"/>
    <s v="refroidissement moteur "/>
    <s v="c"/>
    <x v="1005"/>
    <n v="4108"/>
    <n v="480"/>
    <n v="2700"/>
    <x v="685"/>
    <x v="0"/>
    <m/>
    <x v="0"/>
    <x v="0"/>
  </r>
  <r>
    <x v="710"/>
    <x v="11"/>
    <s v="Semi remorque"/>
    <x v="3"/>
    <s v="17886-A-73 "/>
    <m/>
    <x v="183"/>
    <s v="pneus "/>
    <s v="C "/>
    <x v="1006"/>
    <m/>
    <n v="120"/>
    <n v="120"/>
    <x v="684"/>
    <x v="0"/>
    <m/>
    <x v="0"/>
    <x v="0"/>
  </r>
  <r>
    <x v="711"/>
    <x v="24"/>
    <s v="Voiture de fonction"/>
    <x v="0"/>
    <s v="10551-A-73"/>
    <m/>
    <x v="183"/>
    <s v="suspention moteur "/>
    <s v="c"/>
    <x v="1007"/>
    <n v="4013"/>
    <n v="540"/>
    <n v="1080"/>
    <x v="686"/>
    <x v="0"/>
    <m/>
    <x v="0"/>
    <x v="0"/>
  </r>
  <r>
    <x v="711"/>
    <x v="12"/>
    <s v="Semi remorque"/>
    <x v="3"/>
    <s v="17885-A-73 "/>
    <m/>
    <x v="183"/>
    <s v="pneus "/>
    <s v="C "/>
    <x v="1008"/>
    <m/>
    <n v="120"/>
    <n v="1080"/>
    <x v="687"/>
    <x v="0"/>
    <m/>
    <x v="0"/>
    <x v="0"/>
  </r>
  <r>
    <x v="712"/>
    <x v="15"/>
    <s v="Chariot elevateur"/>
    <x v="10"/>
    <s v="-"/>
    <m/>
    <x v="183"/>
    <s v="Entretien "/>
    <s v="c"/>
    <x v="1009"/>
    <n v="4104"/>
    <n v="60"/>
    <n v="60"/>
    <x v="686"/>
    <x v="0"/>
    <m/>
    <x v="0"/>
    <x v="0"/>
  </r>
  <r>
    <x v="712"/>
    <x v="10"/>
    <s v="Camion"/>
    <x v="8"/>
    <s v="25636-A-13"/>
    <m/>
    <x v="183"/>
    <s v="injection gasoil "/>
    <s v="c"/>
    <x v="1010"/>
    <n v="4107"/>
    <n v="120"/>
    <n v="120"/>
    <x v="686"/>
    <x v="0"/>
    <m/>
    <x v="0"/>
    <x v="0"/>
  </r>
  <r>
    <x v="712"/>
    <x v="18"/>
    <s v="Camion"/>
    <x v="5"/>
    <s v="4969-A-73 "/>
    <m/>
    <x v="183"/>
    <s v="Embrayage "/>
    <s v="c"/>
    <x v="1011"/>
    <m/>
    <n v="2160"/>
    <n v="2700"/>
    <x v="688"/>
    <x v="0"/>
    <m/>
    <x v="0"/>
    <x v="0"/>
  </r>
  <r>
    <x v="713"/>
    <x v="4"/>
    <s v="Camion"/>
    <x v="3"/>
    <s v="22299-A-73"/>
    <m/>
    <x v="185"/>
    <s v="freinage "/>
    <s v="C "/>
    <x v="1012"/>
    <m/>
    <n v="1080"/>
    <n v="1620"/>
    <x v="689"/>
    <x v="0"/>
    <m/>
    <x v="0"/>
    <x v="0"/>
  </r>
  <r>
    <x v="714"/>
    <x v="3"/>
    <s v="Camion"/>
    <x v="3"/>
    <s v="22300-A-73"/>
    <m/>
    <x v="183"/>
    <s v="fuite d'huile "/>
    <s v="c"/>
    <x v="1013"/>
    <m/>
    <n v="1080"/>
    <n v="1080"/>
    <x v="689"/>
    <x v="0"/>
    <m/>
    <x v="0"/>
    <x v="0"/>
  </r>
  <r>
    <x v="714"/>
    <x v="7"/>
    <s v="Camion"/>
    <x v="5"/>
    <s v=" 11469-A-73"/>
    <m/>
    <x v="183"/>
    <s v="Entretien "/>
    <s v="c"/>
    <x v="1014"/>
    <m/>
    <n v="1080"/>
    <n v="1080"/>
    <x v="689"/>
    <x v="0"/>
    <m/>
    <x v="0"/>
    <x v="0"/>
  </r>
  <r>
    <x v="714"/>
    <x v="22"/>
    <s v="Chariot elevateur"/>
    <x v="14"/>
    <s v="-"/>
    <m/>
    <x v="183"/>
    <s v="fuite d'huile hydraulique "/>
    <s v="c"/>
    <x v="1015"/>
    <m/>
    <n v="1080"/>
    <n v="1080"/>
    <x v="682"/>
    <x v="0"/>
    <m/>
    <x v="0"/>
    <x v="0"/>
  </r>
  <r>
    <x v="715"/>
    <x v="27"/>
    <s v="Voiture de fonction"/>
    <x v="0"/>
    <s v=" 9660 -A-73"/>
    <m/>
    <x v="183"/>
    <s v="Freinage "/>
    <s v="c"/>
    <x v="1016"/>
    <m/>
    <n v="1080"/>
    <n v="1080"/>
    <x v="690"/>
    <x v="0"/>
    <m/>
    <x v="0"/>
    <x v="0"/>
  </r>
  <r>
    <x v="715"/>
    <x v="13"/>
    <s v="Camion"/>
    <x v="5"/>
    <s v="4703-A-73"/>
    <m/>
    <x v="183"/>
    <s v="probleme au niveau du transmission"/>
    <s v="C "/>
    <x v="1017"/>
    <n v="4363"/>
    <n v="480"/>
    <n v="1620"/>
    <x v="691"/>
    <x v="0"/>
    <m/>
    <x v="0"/>
    <x v="0"/>
  </r>
  <r>
    <x v="716"/>
    <x v="16"/>
    <s v="Camion"/>
    <x v="5"/>
    <s v="11470-A-73"/>
    <m/>
    <x v="183"/>
    <s v="Freinage "/>
    <s v="C "/>
    <x v="1018"/>
    <s v="4451 _x000a_4473 _x000a_4475"/>
    <n v="2700"/>
    <n v="3780"/>
    <x v="692"/>
    <x v="0"/>
    <m/>
    <x v="0"/>
    <x v="0"/>
  </r>
  <r>
    <x v="717"/>
    <x v="10"/>
    <s v="Camion"/>
    <x v="8"/>
    <s v="25636-A-13"/>
    <m/>
    <x v="183"/>
    <s v="fuite d'huile pont arriere "/>
    <s v="C "/>
    <x v="1019"/>
    <s v="4392/4403"/>
    <n v="540"/>
    <n v="540"/>
    <x v="691"/>
    <x v="0"/>
    <m/>
    <x v="0"/>
    <x v="0"/>
  </r>
  <r>
    <x v="718"/>
    <x v="8"/>
    <s v="Semi remorque"/>
    <x v="6"/>
    <s v="28659-D-1 "/>
    <m/>
    <x v="183"/>
    <s v="refroidissement du moteur "/>
    <s v="C "/>
    <x v="1020"/>
    <n v="4489"/>
    <n v="1080"/>
    <n v="1620"/>
    <x v="693"/>
    <x v="0"/>
    <m/>
    <x v="0"/>
    <x v="0"/>
  </r>
  <r>
    <x v="719"/>
    <x v="15"/>
    <s v="Chariot elevateur"/>
    <x v="10"/>
    <s v="-"/>
    <m/>
    <x v="183"/>
    <s v="probleme au niveau du moteur thermique"/>
    <s v="C "/>
    <x v="1021"/>
    <n v="4405"/>
    <n v="2700"/>
    <n v="3780"/>
    <x v="694"/>
    <x v="0"/>
    <m/>
    <x v="0"/>
    <x v="0"/>
  </r>
  <r>
    <x v="719"/>
    <x v="20"/>
    <s v="Camion"/>
    <x v="6"/>
    <s v="4790-B-8"/>
    <m/>
    <x v="183"/>
    <s v="demarrage moteur "/>
    <s v="C "/>
    <x v="1022"/>
    <n v="4598"/>
    <n v="1620"/>
    <n v="2160"/>
    <x v="695"/>
    <x v="0"/>
    <m/>
    <x v="0"/>
    <x v="0"/>
  </r>
  <r>
    <x v="720"/>
    <x v="21"/>
    <s v="Chariot elevateur"/>
    <x v="13"/>
    <s v="-"/>
    <m/>
    <x v="183"/>
    <s v="moteur thermique "/>
    <s v="c"/>
    <x v="1023"/>
    <s v="1854 _x000a_1962 _x000a_1857 _x000a_1733 _x000a_1351 "/>
    <m/>
    <m/>
    <x v="57"/>
    <x v="0"/>
    <m/>
    <x v="0"/>
    <x v="0"/>
  </r>
  <r>
    <x v="721"/>
    <x v="45"/>
    <s v=""/>
    <x v="24"/>
    <s v=" "/>
    <m/>
    <x v="183"/>
    <s v="entretien "/>
    <s v="C "/>
    <x v="1024"/>
    <n v="4567"/>
    <n v="120"/>
    <n v="120"/>
    <x v="696"/>
    <x v="0"/>
    <m/>
    <x v="0"/>
    <x v="0"/>
  </r>
  <r>
    <x v="722"/>
    <x v="17"/>
    <s v="Bus de transport"/>
    <x v="11"/>
    <s v="18516-A-73"/>
    <m/>
    <x v="183"/>
    <s v="Freinage "/>
    <s v="C "/>
    <x v="1025"/>
    <s v="4588/4597"/>
    <n v="1080"/>
    <n v="2160"/>
    <x v="694"/>
    <x v="0"/>
    <m/>
    <x v="0"/>
    <x v="0"/>
  </r>
  <r>
    <x v="723"/>
    <x v="19"/>
    <s v="Chargeur"/>
    <x v="12"/>
    <s v="-"/>
    <m/>
    <x v="183"/>
    <s v="refroidissement irruglier "/>
    <s v="C "/>
    <x v="1026"/>
    <n v="4631"/>
    <n v="120"/>
    <n v="120"/>
    <x v="695"/>
    <x v="0"/>
    <m/>
    <x v="0"/>
    <x v="0"/>
  </r>
  <r>
    <x v="723"/>
    <x v="3"/>
    <s v="Camion"/>
    <x v="3"/>
    <s v="22300-A-73"/>
    <m/>
    <x v="183"/>
    <s v="entretien "/>
    <s v="C "/>
    <x v="1027"/>
    <n v="4632"/>
    <n v="120"/>
    <n v="120"/>
    <x v="695"/>
    <x v="0"/>
    <m/>
    <x v="0"/>
    <x v="0"/>
  </r>
  <r>
    <x v="723"/>
    <x v="9"/>
    <s v="Bus de transport"/>
    <x v="7"/>
    <s v="22772-A-73"/>
    <m/>
    <x v="183"/>
    <s v="entretien "/>
    <s v="C "/>
    <x v="1028"/>
    <n v="4633"/>
    <n v="120"/>
    <n v="120"/>
    <x v="695"/>
    <x v="0"/>
    <m/>
    <x v="0"/>
    <x v="0"/>
  </r>
  <r>
    <x v="724"/>
    <x v="4"/>
    <s v="Camion"/>
    <x v="3"/>
    <s v="22299-A-73"/>
    <m/>
    <x v="24"/>
    <s v="eclairage "/>
    <s v="c"/>
    <x v="1029"/>
    <n v="1984"/>
    <n v="120"/>
    <n v="120"/>
    <x v="697"/>
    <x v="0"/>
    <m/>
    <x v="0"/>
    <x v="0"/>
  </r>
  <r>
    <x v="724"/>
    <x v="0"/>
    <s v="Voiture de fonction"/>
    <x v="0"/>
    <s v="981-A-73"/>
    <m/>
    <x v="186"/>
    <s v="Carosserie "/>
    <s v="c"/>
    <x v="1030"/>
    <n v="1983"/>
    <n v="180"/>
    <n v="1620"/>
    <x v="697"/>
    <x v="0"/>
    <m/>
    <x v="0"/>
    <x v="0"/>
  </r>
  <r>
    <x v="725"/>
    <x v="44"/>
    <s v="Chariot elevateur"/>
    <x v="29"/>
    <n v="0"/>
    <m/>
    <x v="183"/>
    <s v="entretien "/>
    <s v="C "/>
    <x v="1031"/>
    <n v="4587"/>
    <n v="120"/>
    <n v="120"/>
    <x v="698"/>
    <x v="0"/>
    <m/>
    <x v="0"/>
    <x v="0"/>
  </r>
  <r>
    <x v="725"/>
    <x v="8"/>
    <s v="Semi remorque"/>
    <x v="6"/>
    <s v="28659-D-1 "/>
    <m/>
    <x v="180"/>
    <s v="signalisation"/>
    <s v="C "/>
    <x v="1032"/>
    <n v="4730"/>
    <n v="120"/>
    <n v="120"/>
    <x v="698"/>
    <x v="0"/>
    <m/>
    <x v="0"/>
    <x v="0"/>
  </r>
  <r>
    <x v="726"/>
    <x v="7"/>
    <s v="Camion"/>
    <x v="5"/>
    <s v=" 11469-A-73"/>
    <m/>
    <x v="186"/>
    <s v="Carosserie "/>
    <s v="C "/>
    <x v="1033"/>
    <n v="4769"/>
    <n v="60"/>
    <n v="60"/>
    <x v="699"/>
    <x v="0"/>
    <m/>
    <x v="0"/>
    <x v="0"/>
  </r>
  <r>
    <x v="726"/>
    <x v="20"/>
    <s v="Camion"/>
    <x v="6"/>
    <s v="4790-B-8"/>
    <m/>
    <x v="183"/>
    <s v="suspention  "/>
    <s v="C "/>
    <x v="1034"/>
    <n v="4770"/>
    <n v="360"/>
    <n v="360"/>
    <x v="699"/>
    <x v="0"/>
    <m/>
    <x v="0"/>
    <x v="0"/>
  </r>
  <r>
    <x v="726"/>
    <x v="42"/>
    <s v="Chariot elevateur"/>
    <x v="28"/>
    <n v="0"/>
    <m/>
    <x v="183"/>
    <s v="fuite d'eau "/>
    <s v="C "/>
    <x v="1035"/>
    <n v="4771"/>
    <n v="360"/>
    <n v="180"/>
    <x v="699"/>
    <x v="0"/>
    <m/>
    <x v="0"/>
    <x v="0"/>
  </r>
  <r>
    <x v="727"/>
    <x v="21"/>
    <s v="Chariot elevateur"/>
    <x v="13"/>
    <s v="-"/>
    <m/>
    <x v="183"/>
    <s v="Entretien "/>
    <s v="C "/>
    <x v="1036"/>
    <n v="4801"/>
    <n v="60"/>
    <n v="60"/>
    <x v="700"/>
    <x v="0"/>
    <m/>
    <x v="0"/>
    <x v="0"/>
  </r>
  <r>
    <x v="727"/>
    <x v="20"/>
    <s v="Camion"/>
    <x v="6"/>
    <s v="4790-B-8"/>
    <m/>
    <x v="183"/>
    <s v="fuite d'air comprimé"/>
    <s v="C "/>
    <x v="1037"/>
    <n v="4803"/>
    <n v="240"/>
    <n v="240"/>
    <x v="700"/>
    <x v="0"/>
    <m/>
    <x v="0"/>
    <x v="0"/>
  </r>
  <r>
    <x v="727"/>
    <x v="13"/>
    <s v="Camion"/>
    <x v="5"/>
    <s v="4703-A-73"/>
    <m/>
    <x v="183"/>
    <s v="freinage "/>
    <s v="C "/>
    <x v="1038"/>
    <n v="4804"/>
    <n v="2700"/>
    <n v="4320"/>
    <x v="701"/>
    <x v="0"/>
    <m/>
    <x v="0"/>
    <x v="0"/>
  </r>
  <r>
    <x v="728"/>
    <x v="18"/>
    <s v="Camion"/>
    <x v="5"/>
    <s v="4969-A-73 "/>
    <m/>
    <x v="183"/>
    <s v="entretien "/>
    <s v="C "/>
    <x v="1039"/>
    <n v="4835"/>
    <n v="120"/>
    <n v="120"/>
    <x v="702"/>
    <x v="0"/>
    <m/>
    <x v="0"/>
    <x v="0"/>
  </r>
  <r>
    <x v="729"/>
    <x v="20"/>
    <s v="Camion"/>
    <x v="6"/>
    <s v="4790-B-8"/>
    <m/>
    <x v="183"/>
    <s v="Embrayage "/>
    <s v="C "/>
    <x v="1040"/>
    <n v="4874"/>
    <n v="540"/>
    <n v="540"/>
    <x v="703"/>
    <x v="0"/>
    <m/>
    <x v="0"/>
    <x v="0"/>
  </r>
  <r>
    <x v="729"/>
    <x v="5"/>
    <s v="Semi remorque"/>
    <x v="3"/>
    <s v="70352-A-6"/>
    <m/>
    <x v="183"/>
    <s v="Entretien "/>
    <s v="C "/>
    <x v="1041"/>
    <n v="4875"/>
    <n v="120"/>
    <n v="120"/>
    <x v="704"/>
    <x v="0"/>
    <m/>
    <x v="0"/>
    <x v="0"/>
  </r>
  <r>
    <x v="729"/>
    <x v="20"/>
    <s v="Camion"/>
    <x v="6"/>
    <s v="4790-B-8"/>
    <m/>
    <x v="183"/>
    <s v="freinage "/>
    <s v="c"/>
    <x v="1042"/>
    <n v="5380"/>
    <n v="3240"/>
    <n v="9720"/>
    <x v="705"/>
    <x v="0"/>
    <m/>
    <x v="0"/>
    <x v="0"/>
  </r>
  <r>
    <x v="730"/>
    <x v="16"/>
    <s v="Camion"/>
    <x v="5"/>
    <s v="11470-A-73"/>
    <m/>
    <x v="24"/>
    <s v="demarrage moteur "/>
    <s v="C "/>
    <x v="1043"/>
    <n v="4974"/>
    <n v="240"/>
    <n v="1620"/>
    <x v="706"/>
    <x v="0"/>
    <m/>
    <x v="0"/>
    <x v="0"/>
  </r>
  <r>
    <x v="731"/>
    <x v="23"/>
    <s v="Semi remorque"/>
    <x v="6"/>
    <s v="706-A-73"/>
    <m/>
    <x v="187"/>
    <s v="refroidissement moteur "/>
    <s v="C "/>
    <x v="1044"/>
    <n v="4975"/>
    <n v="1080"/>
    <n v="1080"/>
    <x v="701"/>
    <x v="0"/>
    <m/>
    <x v="0"/>
    <x v="0"/>
  </r>
  <r>
    <x v="731"/>
    <x v="16"/>
    <s v="Camion"/>
    <x v="5"/>
    <s v="11470-A-73"/>
    <m/>
    <x v="180"/>
    <s v="eclairage "/>
    <s v="C "/>
    <x v="1045"/>
    <n v="4976"/>
    <n v="240"/>
    <n v="240"/>
    <x v="706"/>
    <x v="0"/>
    <m/>
    <x v="0"/>
    <x v="0"/>
  </r>
  <r>
    <x v="731"/>
    <x v="5"/>
    <s v="Semi remorque"/>
    <x v="3"/>
    <s v="70352-A-6"/>
    <m/>
    <x v="185"/>
    <s v="embrayage "/>
    <s v="C "/>
    <x v="1046"/>
    <n v="4977"/>
    <n v="1080"/>
    <n v="1080"/>
    <x v="701"/>
    <x v="0"/>
    <m/>
    <x v="0"/>
    <x v="0"/>
  </r>
  <r>
    <x v="732"/>
    <x v="8"/>
    <s v="Semi remorque"/>
    <x v="6"/>
    <s v="28659-D-1 "/>
    <m/>
    <x v="185"/>
    <s v="démarrage moteur"/>
    <s v="C "/>
    <x v="1047"/>
    <n v="5019"/>
    <n v="240"/>
    <n v="240"/>
    <x v="707"/>
    <x v="0"/>
    <m/>
    <x v="0"/>
    <x v="0"/>
  </r>
  <r>
    <x v="732"/>
    <x v="26"/>
    <s v="Chariot elevateur"/>
    <x v="15"/>
    <s v="-"/>
    <m/>
    <x v="185"/>
    <s v="acceleration moteur "/>
    <s v="C "/>
    <x v="1048"/>
    <n v="5047"/>
    <n v="120"/>
    <n v="120"/>
    <x v="708"/>
    <x v="0"/>
    <m/>
    <x v="0"/>
    <x v="0"/>
  </r>
  <r>
    <x v="733"/>
    <x v="10"/>
    <s v="Camion"/>
    <x v="8"/>
    <s v="25636-A-13"/>
    <m/>
    <x v="188"/>
    <s v="eclairage "/>
    <s v="C "/>
    <x v="1049"/>
    <n v="5075"/>
    <n v="120"/>
    <n v="120"/>
    <x v="708"/>
    <x v="0"/>
    <m/>
    <x v="0"/>
    <x v="0"/>
  </r>
  <r>
    <x v="733"/>
    <x v="13"/>
    <s v="Camion"/>
    <x v="5"/>
    <s v="4703-A-73"/>
    <m/>
    <x v="185"/>
    <s v="entretien "/>
    <s v="C / P"/>
    <x v="1050"/>
    <n v="5095"/>
    <n v="120"/>
    <n v="120"/>
    <x v="709"/>
    <x v="0"/>
    <m/>
    <x v="0"/>
    <x v="0"/>
  </r>
  <r>
    <x v="734"/>
    <x v="13"/>
    <s v="Camion"/>
    <x v="5"/>
    <s v="4703-A-73"/>
    <m/>
    <x v="24"/>
    <s v="eclairage "/>
    <s v="C "/>
    <x v="1004"/>
    <n v="5117"/>
    <n v="120"/>
    <n v="120"/>
    <x v="710"/>
    <x v="0"/>
    <m/>
    <x v="2"/>
    <x v="2"/>
  </r>
  <r>
    <x v="734"/>
    <x v="18"/>
    <s v="Camion"/>
    <x v="5"/>
    <s v="4969-A-73 "/>
    <m/>
    <x v="185"/>
    <s v="Démarrage "/>
    <s v="C / P"/>
    <x v="1051"/>
    <n v="5135"/>
    <n v="120"/>
    <n v="120"/>
    <x v="710"/>
    <x v="0"/>
    <m/>
    <x v="0"/>
    <x v="0"/>
  </r>
  <r>
    <x v="735"/>
    <x v="13"/>
    <s v="Camion"/>
    <x v="5"/>
    <s v="4703-A-73"/>
    <m/>
    <x v="24"/>
    <s v="Eclairage "/>
    <s v="c"/>
    <x v="1052"/>
    <n v="5188"/>
    <n v="120"/>
    <n v="120"/>
    <x v="711"/>
    <x v="0"/>
    <m/>
    <x v="0"/>
    <x v="0"/>
  </r>
  <r>
    <x v="735"/>
    <x v="13"/>
    <s v="Camion"/>
    <x v="5"/>
    <s v="4703-A-73"/>
    <m/>
    <x v="186"/>
    <s v="Carrosserie "/>
    <s v="c"/>
    <x v="1053"/>
    <s v="5188/5196"/>
    <n v="5400"/>
    <n v="5400"/>
    <x v="712"/>
    <x v="0"/>
    <m/>
    <x v="0"/>
    <x v="0"/>
  </r>
  <r>
    <x v="736"/>
    <x v="16"/>
    <s v="Camion"/>
    <x v="5"/>
    <s v="11470-A-73"/>
    <m/>
    <x v="183"/>
    <s v="entretien "/>
    <s v="P"/>
    <x v="1054"/>
    <n v="5286"/>
    <n v="120"/>
    <n v="120"/>
    <x v="713"/>
    <x v="0"/>
    <m/>
    <x v="0"/>
    <x v="0"/>
  </r>
  <r>
    <x v="736"/>
    <x v="6"/>
    <s v="Pick up"/>
    <x v="4"/>
    <s v="22368-A-73"/>
    <e v="#REF!"/>
    <x v="183"/>
    <s v="Entretien "/>
    <s v="P"/>
    <x v="1055"/>
    <n v="5293"/>
    <n v="120"/>
    <n v="120"/>
    <x v="713"/>
    <x v="0"/>
    <m/>
    <x v="0"/>
    <x v="0"/>
  </r>
  <r>
    <x v="737"/>
    <x v="32"/>
    <s v="Chariot elevateur"/>
    <x v="2"/>
    <s v="-"/>
    <m/>
    <x v="183"/>
    <s v="fuite d'huile hyd"/>
    <s v="C "/>
    <x v="1056"/>
    <n v="5379"/>
    <n v="1080"/>
    <n v="3780"/>
    <x v="714"/>
    <x v="0"/>
    <m/>
    <x v="0"/>
    <x v="0"/>
  </r>
  <r>
    <x v="738"/>
    <x v="7"/>
    <s v="Camion"/>
    <x v="5"/>
    <s v=" 11469-A-73"/>
    <m/>
    <x v="185"/>
    <s v="pneus "/>
    <s v="c"/>
    <x v="1057"/>
    <n v="5381"/>
    <n v="120"/>
    <n v="120"/>
    <x v="715"/>
    <x v="0"/>
    <m/>
    <x v="0"/>
    <x v="0"/>
  </r>
  <r>
    <x v="739"/>
    <x v="29"/>
    <s v="Chariot elevateur"/>
    <x v="16"/>
    <s v="-"/>
    <m/>
    <x v="185"/>
    <s v="fuite d'huile moteur "/>
    <s v="c"/>
    <x v="1058"/>
    <n v="5411"/>
    <n v="540"/>
    <n v="1080"/>
    <x v="716"/>
    <x v="0"/>
    <m/>
    <x v="0"/>
    <x v="0"/>
  </r>
  <r>
    <x v="740"/>
    <x v="42"/>
    <s v="Chariot elevateur"/>
    <x v="28"/>
    <n v="0"/>
    <m/>
    <x v="183"/>
    <s v="fuite d'huile "/>
    <s v="c"/>
    <x v="1059"/>
    <n v="5463"/>
    <n v="1620"/>
    <n v="2700"/>
    <x v="714"/>
    <x v="0"/>
    <m/>
    <x v="0"/>
    <x v="0"/>
  </r>
  <r>
    <x v="741"/>
    <x v="15"/>
    <s v="Chariot elevateur"/>
    <x v="10"/>
    <s v="-"/>
    <m/>
    <x v="183"/>
    <s v="fuite d'huile hyd"/>
    <s v="c"/>
    <x v="1060"/>
    <n v="5499"/>
    <n v="1620"/>
    <n v="2160"/>
    <x v="714"/>
    <x v="0"/>
    <m/>
    <x v="0"/>
    <x v="0"/>
  </r>
  <r>
    <x v="742"/>
    <x v="23"/>
    <s v="Semi remorque"/>
    <x v="6"/>
    <s v="706-A-73"/>
    <m/>
    <x v="24"/>
    <s v="Eclairage"/>
    <s v="c"/>
    <x v="1061"/>
    <n v="5516"/>
    <n v="120"/>
    <n v="120"/>
    <x v="717"/>
    <x v="0"/>
    <m/>
    <x v="0"/>
    <x v="0"/>
  </r>
  <r>
    <x v="743"/>
    <x v="12"/>
    <s v="Semi remorque"/>
    <x v="3"/>
    <s v="17885-A-73 "/>
    <m/>
    <x v="183"/>
    <s v="entretien "/>
    <s v="c"/>
    <x v="1062"/>
    <n v="6559"/>
    <n v="120"/>
    <n v="120"/>
    <x v="718"/>
    <x v="0"/>
    <m/>
    <x v="0"/>
    <x v="0"/>
  </r>
  <r>
    <x v="743"/>
    <x v="1"/>
    <s v="Camion"/>
    <x v="1"/>
    <s v="26128-A-8"/>
    <m/>
    <x v="183"/>
    <s v="acceleration moteur "/>
    <s v="c"/>
    <x v="1063"/>
    <n v="5661"/>
    <n v="180"/>
    <n v="180"/>
    <x v="718"/>
    <x v="0"/>
    <m/>
    <x v="0"/>
    <x v="0"/>
  </r>
  <r>
    <x v="743"/>
    <x v="19"/>
    <s v="Chargeur"/>
    <x v="12"/>
    <s v="-"/>
    <m/>
    <x v="183"/>
    <s v="moteur "/>
    <s v="c"/>
    <x v="1064"/>
    <n v="5697"/>
    <n v="3240"/>
    <n v="7020"/>
    <x v="719"/>
    <x v="0"/>
    <m/>
    <x v="0"/>
    <x v="0"/>
  </r>
  <r>
    <x v="743"/>
    <x v="11"/>
    <s v="Semi remorque"/>
    <x v="3"/>
    <s v="17886-A-73 "/>
    <m/>
    <x v="183"/>
    <s v="entretien "/>
    <s v="P"/>
    <x v="1065"/>
    <n v="5651"/>
    <n v="120"/>
    <n v="120"/>
    <x v="718"/>
    <x v="0"/>
    <m/>
    <x v="0"/>
    <x v="0"/>
  </r>
  <r>
    <x v="744"/>
    <x v="32"/>
    <s v="Chariot elevateur"/>
    <x v="2"/>
    <s v="-"/>
    <m/>
    <x v="183"/>
    <s v="direction "/>
    <s v="c"/>
    <x v="1066"/>
    <n v="5762"/>
    <n v="540"/>
    <n v="540"/>
    <x v="720"/>
    <x v="0"/>
    <m/>
    <x v="0"/>
    <x v="0"/>
  </r>
  <r>
    <x v="744"/>
    <x v="3"/>
    <s v="Camion"/>
    <x v="3"/>
    <s v="22300-A-73"/>
    <m/>
    <x v="24"/>
    <s v="eclairage "/>
    <s v="c"/>
    <x v="1067"/>
    <n v="5769"/>
    <n v="120"/>
    <n v="120"/>
    <x v="721"/>
    <x v="0"/>
    <m/>
    <x v="0"/>
    <x v="0"/>
  </r>
  <r>
    <x v="745"/>
    <x v="2"/>
    <s v="Chariot elevateur"/>
    <x v="2"/>
    <s v="-"/>
    <m/>
    <x v="24"/>
    <s v="demarrage moteur "/>
    <s v="c"/>
    <x v="1068"/>
    <n v="5867"/>
    <n v="120"/>
    <n v="120"/>
    <x v="722"/>
    <x v="0"/>
    <m/>
    <x v="0"/>
    <x v="0"/>
  </r>
  <r>
    <x v="746"/>
    <x v="6"/>
    <s v="Pick up"/>
    <x v="4"/>
    <s v="22368-A-73"/>
    <m/>
    <x v="24"/>
    <s v="demarrage "/>
    <s v="c"/>
    <x v="1069"/>
    <n v="5975"/>
    <n v="240"/>
    <n v="240"/>
    <x v="723"/>
    <x v="0"/>
    <m/>
    <x v="0"/>
    <x v="0"/>
  </r>
  <r>
    <x v="747"/>
    <x v="11"/>
    <s v="Semi remorque"/>
    <x v="3"/>
    <s v="17886-A-73 "/>
    <m/>
    <x v="24"/>
    <s v="eclairage "/>
    <s v="c"/>
    <x v="1004"/>
    <n v="6013"/>
    <n v="60"/>
    <n v="60"/>
    <x v="724"/>
    <x v="0"/>
    <m/>
    <x v="0"/>
    <x v="0"/>
  </r>
  <r>
    <x v="748"/>
    <x v="4"/>
    <s v="Camion"/>
    <x v="3"/>
    <s v="22299-A-73"/>
    <m/>
    <x v="183"/>
    <s v="entretien "/>
    <s v="P"/>
    <x v="1070"/>
    <n v="6064"/>
    <n v="120"/>
    <n v="120"/>
    <x v="719"/>
    <x v="0"/>
    <m/>
    <x v="0"/>
    <x v="0"/>
  </r>
  <r>
    <x v="748"/>
    <x v="11"/>
    <s v="Semi remorque"/>
    <x v="3"/>
    <s v="17886-A-73 "/>
    <m/>
    <x v="24"/>
    <s v="eclairage "/>
    <s v="c"/>
    <x v="1004"/>
    <n v="6075"/>
    <n v="120"/>
    <n v="120"/>
    <x v="719"/>
    <x v="0"/>
    <m/>
    <x v="0"/>
    <x v="0"/>
  </r>
  <r>
    <x v="749"/>
    <x v="16"/>
    <s v="Camion"/>
    <x v="5"/>
    <s v="11470-A-73"/>
    <m/>
    <x v="183"/>
    <s v="freinage "/>
    <s v="c"/>
    <x v="1071"/>
    <n v="6211"/>
    <n v="3240"/>
    <n v="3240"/>
    <x v="725"/>
    <x v="0"/>
    <m/>
    <x v="0"/>
    <x v="0"/>
  </r>
  <r>
    <x v="749"/>
    <x v="8"/>
    <s v="Semi remorque"/>
    <x v="6"/>
    <s v="28659-D-1 "/>
    <m/>
    <x v="183"/>
    <s v="fuite de liquide de refroidissement "/>
    <s v="c"/>
    <x v="250"/>
    <n v="6215"/>
    <n v="1620"/>
    <n v="2700"/>
    <x v="726"/>
    <x v="0"/>
    <m/>
    <x v="3"/>
    <x v="2"/>
  </r>
  <r>
    <x v="750"/>
    <x v="22"/>
    <s v="Chariot elevateur"/>
    <x v="14"/>
    <s v="-"/>
    <m/>
    <x v="183"/>
    <s v="fuite d'huile hyd "/>
    <s v="c"/>
    <x v="1072"/>
    <s v="6138/6154"/>
    <n v="2160"/>
    <n v="3240"/>
    <x v="727"/>
    <x v="0"/>
    <m/>
    <x v="0"/>
    <x v="0"/>
  </r>
  <r>
    <x v="750"/>
    <x v="33"/>
    <s v="Chariot elevateur"/>
    <x v="18"/>
    <s v="-"/>
    <m/>
    <x v="183"/>
    <s v="refroidissement "/>
    <s v="c"/>
    <x v="1073"/>
    <s v="6140/6144"/>
    <n v="540"/>
    <n v="1080"/>
    <x v="728"/>
    <x v="0"/>
    <m/>
    <x v="0"/>
    <x v="0"/>
  </r>
  <r>
    <x v="750"/>
    <x v="22"/>
    <s v="Chariot elevateur"/>
    <x v="14"/>
    <m/>
    <m/>
    <x v="183"/>
    <s v="fuite d'huile "/>
    <s v="c"/>
    <x v="1074"/>
    <n v="6144"/>
    <n v="360"/>
    <n v="360"/>
    <x v="729"/>
    <x v="0"/>
    <m/>
    <x v="3"/>
    <x v="2"/>
  </r>
  <r>
    <x v="751"/>
    <x v="12"/>
    <s v="Semi remorque"/>
    <x v="3"/>
    <s v="17885-A-73 "/>
    <m/>
    <x v="183"/>
    <s v="pneu "/>
    <s v="c"/>
    <x v="1075"/>
    <n v="6212"/>
    <n v="1080"/>
    <n v="1080"/>
    <x v="730"/>
    <x v="0"/>
    <m/>
    <x v="0"/>
    <x v="0"/>
  </r>
  <r>
    <x v="751"/>
    <x v="6"/>
    <s v="Pick up"/>
    <x v="4"/>
    <s v="22368-A-73"/>
    <m/>
    <x v="183"/>
    <s v="pneu "/>
    <s v="c"/>
    <x v="1076"/>
    <n v="6213"/>
    <n v="120"/>
    <n v="120"/>
    <x v="731"/>
    <x v="0"/>
    <m/>
    <x v="0"/>
    <x v="0"/>
  </r>
  <r>
    <x v="752"/>
    <x v="17"/>
    <s v="Bus de transport"/>
    <x v="11"/>
    <s v="18516-A-73"/>
    <m/>
    <x v="183"/>
    <s v="freinage "/>
    <s v="c"/>
    <x v="1077"/>
    <n v="6217"/>
    <n v="540"/>
    <n v="540"/>
    <x v="726"/>
    <x v="0"/>
    <m/>
    <x v="0"/>
    <x v="0"/>
  </r>
  <r>
    <x v="752"/>
    <x v="38"/>
    <s v="Voiture de fonction"/>
    <x v="25"/>
    <s v="4812-A-73"/>
    <m/>
    <x v="184"/>
    <s v="eclairage "/>
    <s v="c"/>
    <x v="1078"/>
    <n v="6281"/>
    <n v="1080"/>
    <n v="1080"/>
    <x v="726"/>
    <x v="0"/>
    <m/>
    <x v="0"/>
    <x v="0"/>
  </r>
  <r>
    <x v="753"/>
    <x v="1"/>
    <s v="Camion"/>
    <x v="1"/>
    <s v="26128-A-8"/>
    <m/>
    <x v="183"/>
    <s v="fuite d'air comprimé"/>
    <s v="c"/>
    <x v="1079"/>
    <n v="6344"/>
    <n v="240"/>
    <n v="240"/>
    <x v="727"/>
    <x v="0"/>
    <m/>
    <x v="0"/>
    <x v="0"/>
  </r>
  <r>
    <x v="754"/>
    <x v="24"/>
    <s v="Voiture de fonction"/>
    <x v="0"/>
    <s v="10551-A-73"/>
    <m/>
    <x v="183"/>
    <s v="suspension  "/>
    <s v="C "/>
    <x v="1080"/>
    <n v="6353"/>
    <n v="2160"/>
    <n v="2700"/>
    <x v="732"/>
    <x v="0"/>
    <m/>
    <x v="0"/>
    <x v="0"/>
  </r>
  <r>
    <x v="755"/>
    <x v="15"/>
    <s v="Chariot elevateur"/>
    <x v="10"/>
    <s v="-"/>
    <m/>
    <x v="183"/>
    <s v="demarrage "/>
    <s v="c"/>
    <x v="1081"/>
    <n v="6384"/>
    <n v="240"/>
    <n v="240"/>
    <x v="733"/>
    <x v="0"/>
    <m/>
    <x v="0"/>
    <x v="0"/>
  </r>
  <r>
    <x v="756"/>
    <x v="8"/>
    <s v="Semi remorque"/>
    <x v="6"/>
    <s v="28659-D-1 "/>
    <m/>
    <x v="183"/>
    <s v="fuite d'air comprime "/>
    <s v="c"/>
    <x v="1082"/>
    <s v="6420/6408"/>
    <n v="540"/>
    <n v="480"/>
    <x v="734"/>
    <x v="0"/>
    <m/>
    <x v="0"/>
    <x v="0"/>
  </r>
  <r>
    <x v="756"/>
    <x v="22"/>
    <s v="Chariot elevateur"/>
    <x v="14"/>
    <s v="-"/>
    <m/>
    <x v="183"/>
    <s v="marche AV/AR"/>
    <s v="c"/>
    <x v="1083"/>
    <n v="6430"/>
    <n v="180"/>
    <n v="180"/>
    <x v="734"/>
    <x v="0"/>
    <m/>
    <x v="0"/>
    <x v="0"/>
  </r>
  <r>
    <x v="757"/>
    <x v="23"/>
    <s v="Semi remorque"/>
    <x v="6"/>
    <s v="706-A-73"/>
    <m/>
    <x v="24"/>
    <s v="eclairage "/>
    <s v="c"/>
    <x v="1004"/>
    <n v="6520"/>
    <n v="120"/>
    <n v="120"/>
    <x v="735"/>
    <x v="0"/>
    <m/>
    <x v="0"/>
    <x v="0"/>
  </r>
  <r>
    <x v="757"/>
    <x v="27"/>
    <s v="Voiture de fonction"/>
    <x v="0"/>
    <s v=" 9660 -A-73"/>
    <m/>
    <x v="183"/>
    <s v="fuite du gasoil "/>
    <s v="c"/>
    <x v="1084"/>
    <n v="6528"/>
    <n v="180"/>
    <n v="240"/>
    <x v="735"/>
    <x v="0"/>
    <m/>
    <x v="0"/>
    <x v="0"/>
  </r>
  <r>
    <x v="757"/>
    <x v="9"/>
    <s v="Bus de transport"/>
    <x v="7"/>
    <s v="22772-A-73"/>
    <m/>
    <x v="183"/>
    <s v="suspension  "/>
    <s v="c"/>
    <x v="1085"/>
    <n v="6533"/>
    <n v="240"/>
    <n v="240"/>
    <x v="735"/>
    <x v="0"/>
    <m/>
    <x v="0"/>
    <x v="0"/>
  </r>
  <r>
    <x v="757"/>
    <x v="16"/>
    <s v="Camion"/>
    <x v="5"/>
    <s v="11470-A-73"/>
    <m/>
    <x v="183"/>
    <s v="Embrayage "/>
    <s v="c"/>
    <x v="1086"/>
    <n v="6534"/>
    <n v="2700"/>
    <n v="4320"/>
    <x v="736"/>
    <x v="0"/>
    <m/>
    <x v="0"/>
    <x v="0"/>
  </r>
  <r>
    <x v="758"/>
    <x v="33"/>
    <s v="Chariot elevateur"/>
    <x v="18"/>
    <s v="-"/>
    <m/>
    <x v="183"/>
    <s v="Entretien "/>
    <s v="P"/>
    <x v="1087"/>
    <n v="6553"/>
    <n v="60"/>
    <n v="60"/>
    <x v="737"/>
    <x v="0"/>
    <m/>
    <x v="0"/>
    <x v="0"/>
  </r>
  <r>
    <x v="758"/>
    <x v="32"/>
    <s v="Chariot elevateur"/>
    <x v="2"/>
    <s v="-"/>
    <m/>
    <x v="183"/>
    <s v="Entretien "/>
    <s v="P"/>
    <x v="849"/>
    <n v="6554"/>
    <n v="60"/>
    <n v="60"/>
    <x v="737"/>
    <x v="0"/>
    <m/>
    <x v="0"/>
    <x v="0"/>
  </r>
  <r>
    <x v="759"/>
    <x v="27"/>
    <s v="Voiture de fonction"/>
    <x v="0"/>
    <s v=" 9660 -A-73"/>
    <s v=" "/>
    <x v="183"/>
    <s v="suspension  "/>
    <s v="c"/>
    <x v="1088"/>
    <n v="6589"/>
    <n v="2160"/>
    <n v="3240"/>
    <x v="738"/>
    <x v="0"/>
    <m/>
    <x v="0"/>
    <x v="0"/>
  </r>
  <r>
    <x v="760"/>
    <x v="12"/>
    <s v="Semi remorque"/>
    <x v="3"/>
    <s v="17885-A-73 "/>
    <s v=" "/>
    <x v="183"/>
    <s v="fuite d'air "/>
    <s v="C/P"/>
    <x v="1089"/>
    <n v="6626"/>
    <n v="540"/>
    <n v="540"/>
    <x v="739"/>
    <x v="0"/>
    <m/>
    <x v="0"/>
    <x v="0"/>
  </r>
  <r>
    <x v="761"/>
    <x v="5"/>
    <s v="Semi remorque"/>
    <x v="3"/>
    <s v="70352-A-6"/>
    <m/>
    <x v="183"/>
    <s v="transmission "/>
    <s v="c"/>
    <x v="885"/>
    <n v="6642"/>
    <n v="180"/>
    <n v="240"/>
    <x v="740"/>
    <x v="0"/>
    <m/>
    <x v="0"/>
    <x v="0"/>
  </r>
  <r>
    <x v="761"/>
    <x v="16"/>
    <s v="Camion"/>
    <x v="5"/>
    <s v="11470-A-73"/>
    <m/>
    <x v="24"/>
    <s v="demarrage"/>
    <s v="c"/>
    <x v="1090"/>
    <n v="6643"/>
    <n v="240"/>
    <n v="240"/>
    <x v="740"/>
    <x v="0"/>
    <m/>
    <x v="0"/>
    <x v="0"/>
  </r>
  <r>
    <x v="762"/>
    <x v="18"/>
    <s v="Camion"/>
    <x v="5"/>
    <s v="4969-A-73 "/>
    <m/>
    <x v="183"/>
    <s v="freinage "/>
    <s v="c"/>
    <x v="1091"/>
    <n v="6798"/>
    <n v="1080"/>
    <n v="1080"/>
    <x v="741"/>
    <x v="0"/>
    <m/>
    <x v="0"/>
    <x v="0"/>
  </r>
  <r>
    <x v="762"/>
    <x v="10"/>
    <s v="Camion"/>
    <x v="8"/>
    <s v="25636-A-13"/>
    <m/>
    <x v="24"/>
    <s v="eclairage "/>
    <s v="c"/>
    <x v="1092"/>
    <n v="6799"/>
    <n v="540"/>
    <n v="540"/>
    <x v="742"/>
    <x v="0"/>
    <m/>
    <x v="0"/>
    <x v="0"/>
  </r>
  <r>
    <x v="762"/>
    <x v="16"/>
    <s v="Camion"/>
    <x v="5"/>
    <s v="11470-A-73"/>
    <m/>
    <x v="183"/>
    <s v="freinage "/>
    <s v="c"/>
    <x v="1093"/>
    <n v="6801"/>
    <n v="540"/>
    <n v="1080"/>
    <x v="741"/>
    <x v="0"/>
    <m/>
    <x v="0"/>
    <x v="0"/>
  </r>
  <r>
    <x v="762"/>
    <x v="8"/>
    <s v="Semi remorque"/>
    <x v="6"/>
    <s v="28659-D-1 "/>
    <m/>
    <x v="183"/>
    <s v="embrayage "/>
    <s v="c"/>
    <x v="1094"/>
    <n v="6806"/>
    <n v="120"/>
    <n v="120"/>
    <x v="742"/>
    <x v="0"/>
    <m/>
    <x v="0"/>
    <x v="0"/>
  </r>
  <r>
    <x v="763"/>
    <x v="12"/>
    <s v="Semi remorque"/>
    <x v="3"/>
    <s v="17885-A-73 "/>
    <m/>
    <x v="24"/>
    <s v="eclairage "/>
    <s v="c"/>
    <x v="1095"/>
    <n v="6866"/>
    <n v="120"/>
    <n v="120"/>
    <x v="741"/>
    <x v="0"/>
    <m/>
    <x v="0"/>
    <x v="0"/>
  </r>
  <r>
    <x v="764"/>
    <x v="18"/>
    <s v="Camion"/>
    <x v="5"/>
    <s v="4969-A-73 "/>
    <m/>
    <x v="183"/>
    <s v="freinage "/>
    <s v="c"/>
    <x v="1096"/>
    <s v="7071/7144"/>
    <n v="7560"/>
    <n v="7560"/>
    <x v="743"/>
    <x v="0"/>
    <m/>
    <x v="0"/>
    <x v="0"/>
  </r>
  <r>
    <x v="765"/>
    <x v="8"/>
    <s v="Semi remorque"/>
    <x v="6"/>
    <s v="28659-D-1 "/>
    <m/>
    <x v="185"/>
    <s v="embrayage "/>
    <s v="c"/>
    <x v="1097"/>
    <n v="6925"/>
    <n v="2160"/>
    <n v="3240"/>
    <x v="744"/>
    <x v="0"/>
    <m/>
    <x v="0"/>
    <x v="0"/>
  </r>
  <r>
    <x v="765"/>
    <x v="11"/>
    <s v="Semi remorque"/>
    <x v="3"/>
    <s v="17886-A-73 "/>
    <m/>
    <x v="189"/>
    <s v="eclairage "/>
    <s v="C "/>
    <x v="1098"/>
    <n v="6965"/>
    <n v="120"/>
    <n v="120"/>
    <x v="745"/>
    <x v="0"/>
    <m/>
    <x v="0"/>
    <x v="0"/>
  </r>
  <r>
    <x v="766"/>
    <x v="11"/>
    <s v="Semi remorque"/>
    <x v="3"/>
    <s v="17886-A-73 "/>
    <m/>
    <x v="24"/>
    <s v="eclairage "/>
    <s v="C "/>
    <x v="1004"/>
    <n v="6965"/>
    <n v="120"/>
    <n v="120"/>
    <x v="746"/>
    <x v="0"/>
    <m/>
    <x v="0"/>
    <x v="0"/>
  </r>
  <r>
    <x v="767"/>
    <x v="7"/>
    <s v="Camion"/>
    <x v="5"/>
    <s v=" 11469-A-73"/>
    <m/>
    <x v="185"/>
    <s v="freinage "/>
    <s v="c"/>
    <x v="1099"/>
    <n v="7198"/>
    <n v="2700"/>
    <n v="3240"/>
    <x v="743"/>
    <x v="0"/>
    <m/>
    <x v="0"/>
    <x v="0"/>
  </r>
  <r>
    <x v="768"/>
    <x v="19"/>
    <s v="Chargeur"/>
    <x v="12"/>
    <s v="-"/>
    <m/>
    <x v="183"/>
    <s v="demarrage moteur "/>
    <s v="c"/>
    <x v="1100"/>
    <n v="7017"/>
    <n v="180"/>
    <n v="180"/>
    <x v="747"/>
    <x v="0"/>
    <m/>
    <x v="0"/>
    <x v="0"/>
  </r>
  <r>
    <x v="769"/>
    <x v="23"/>
    <s v="Semi remorque"/>
    <x v="6"/>
    <s v="706-A-73"/>
    <m/>
    <x v="183"/>
    <s v="refroidissement moteur "/>
    <s v="c"/>
    <x v="1101"/>
    <n v="7072"/>
    <n v="540"/>
    <n v="540"/>
    <x v="748"/>
    <x v="0"/>
    <m/>
    <x v="0"/>
    <x v="0"/>
  </r>
  <r>
    <x v="769"/>
    <x v="31"/>
    <s v="Voiture de fonction"/>
    <x v="0"/>
    <s v="50313-A-6"/>
    <m/>
    <x v="183"/>
    <s v="suspension  "/>
    <s v="c"/>
    <x v="1102"/>
    <n v="7073"/>
    <n v="1620"/>
    <n v="1620"/>
    <x v="749"/>
    <x v="0"/>
    <m/>
    <x v="0"/>
    <x v="0"/>
  </r>
  <r>
    <x v="770"/>
    <x v="15"/>
    <s v="Chariot elevateur"/>
    <x v="10"/>
    <s v="-"/>
    <m/>
    <x v="183"/>
    <s v="moyeu de roue AR"/>
    <s v="c"/>
    <x v="1103"/>
    <n v="7229"/>
    <n v="240"/>
    <n v="1620"/>
    <x v="750"/>
    <x v="0"/>
    <m/>
    <x v="0"/>
    <x v="0"/>
  </r>
  <r>
    <x v="770"/>
    <x v="2"/>
    <s v="Chariot elevateur"/>
    <x v="2"/>
    <s v="-"/>
    <m/>
    <x v="183"/>
    <s v="moteur thermique "/>
    <s v="C "/>
    <x v="1104"/>
    <n v="7534"/>
    <n v="5400"/>
    <n v="11800"/>
    <x v="751"/>
    <x v="0"/>
    <m/>
    <x v="0"/>
    <x v="0"/>
  </r>
  <r>
    <x v="771"/>
    <x v="1"/>
    <s v="Camion"/>
    <x v="1"/>
    <s v="26128-A-8"/>
    <m/>
    <x v="183"/>
    <s v="entretien "/>
    <s v="c"/>
    <x v="1105"/>
    <n v="7192"/>
    <n v="180"/>
    <n v="180"/>
    <x v="752"/>
    <x v="0"/>
    <m/>
    <x v="0"/>
    <x v="0"/>
  </r>
  <r>
    <x v="771"/>
    <x v="12"/>
    <s v="Semi remorque"/>
    <x v="3"/>
    <s v="17885-A-73 "/>
    <m/>
    <x v="183"/>
    <s v="refroidissement "/>
    <s v="c"/>
    <x v="1106"/>
    <n v="7193"/>
    <n v="1080"/>
    <n v="1080"/>
    <x v="750"/>
    <x v="0"/>
    <m/>
    <x v="0"/>
    <x v="0"/>
  </r>
  <r>
    <x v="771"/>
    <x v="1"/>
    <s v="Camion"/>
    <x v="1"/>
    <s v="26128-A-8"/>
    <m/>
    <x v="190"/>
    <s v="eclairage "/>
    <s v="c"/>
    <x v="1107"/>
    <n v="7197"/>
    <n v="540"/>
    <n v="540"/>
    <x v="752"/>
    <x v="0"/>
    <m/>
    <x v="0"/>
    <x v="0"/>
  </r>
  <r>
    <x v="771"/>
    <x v="28"/>
    <s v="Chariot elevateur"/>
    <x v="13"/>
    <s v="-"/>
    <m/>
    <x v="183"/>
    <s v="fuite d'eau "/>
    <s v="c"/>
    <x v="1108"/>
    <n v="7231"/>
    <n v="1080"/>
    <n v="3240"/>
    <x v="753"/>
    <x v="0"/>
    <m/>
    <x v="0"/>
    <x v="0"/>
  </r>
  <r>
    <x v="772"/>
    <x v="22"/>
    <s v="Chariot elevateur"/>
    <x v="14"/>
    <s v="-"/>
    <m/>
    <x v="183"/>
    <s v="freinage "/>
    <s v="C "/>
    <x v="1109"/>
    <n v="7234"/>
    <n v="180"/>
    <n v="540"/>
    <x v="750"/>
    <x v="0"/>
    <m/>
    <x v="0"/>
    <x v="0"/>
  </r>
  <r>
    <x v="772"/>
    <x v="12"/>
    <s v="Semi remorque"/>
    <x v="3"/>
    <s v="17885-A-73 "/>
    <m/>
    <x v="183"/>
    <s v="Freinage "/>
    <s v="c"/>
    <x v="1110"/>
    <n v="7270"/>
    <n v="1620"/>
    <n v="1620"/>
    <x v="743"/>
    <x v="0"/>
    <m/>
    <x v="0"/>
    <x v="0"/>
  </r>
  <r>
    <x v="773"/>
    <x v="23"/>
    <s v="Semi remorque"/>
    <x v="6"/>
    <s v="706-A-73"/>
    <m/>
    <x v="183"/>
    <s v="fuite d'air"/>
    <s v="c"/>
    <x v="1111"/>
    <n v="7284"/>
    <n v="180"/>
    <n v="180"/>
    <x v="743"/>
    <x v="0"/>
    <m/>
    <x v="0"/>
    <x v="0"/>
  </r>
  <r>
    <x v="773"/>
    <x v="8"/>
    <s v="Semi remorque"/>
    <x v="6"/>
    <s v="28659-D-1 "/>
    <m/>
    <x v="183"/>
    <s v="selection de vitesse "/>
    <s v="c"/>
    <x v="1112"/>
    <n v="7344"/>
    <n v="1080"/>
    <n v="2160"/>
    <x v="754"/>
    <x v="0"/>
    <m/>
    <x v="0"/>
    <x v="0"/>
  </r>
  <r>
    <x v="774"/>
    <x v="16"/>
    <s v="Camion"/>
    <x v="5"/>
    <s v="11470-A-73"/>
    <m/>
    <x v="183"/>
    <s v="entretien "/>
    <s v="P"/>
    <x v="133"/>
    <n v="7305"/>
    <n v="120"/>
    <n v="120"/>
    <x v="755"/>
    <x v="0"/>
    <m/>
    <x v="0"/>
    <x v="0"/>
  </r>
  <r>
    <x v="774"/>
    <x v="23"/>
    <s v="Semi remorque"/>
    <x v="6"/>
    <s v="706-A-73"/>
    <m/>
    <x v="183"/>
    <s v="charge du battrie "/>
    <s v="c"/>
    <x v="1113"/>
    <n v="7345"/>
    <n v="540"/>
    <n v="1620"/>
    <x v="754"/>
    <x v="0"/>
    <m/>
    <x v="0"/>
    <x v="0"/>
  </r>
  <r>
    <x v="775"/>
    <x v="17"/>
    <s v="Bus de transport"/>
    <x v="11"/>
    <s v="18516-A-73"/>
    <m/>
    <x v="183"/>
    <s v="acceleration moteur "/>
    <s v="c"/>
    <x v="1063"/>
    <n v="7343"/>
    <n v="180"/>
    <n v="540"/>
    <x v="756"/>
    <x v="0"/>
    <m/>
    <x v="0"/>
    <x v="0"/>
  </r>
  <r>
    <x v="776"/>
    <x v="9"/>
    <s v="Bus de transport"/>
    <x v="7"/>
    <s v="22772-A-73"/>
    <m/>
    <x v="183"/>
    <s v="freinage "/>
    <s v="C "/>
    <x v="1114"/>
    <n v="7460"/>
    <n v="540"/>
    <n v="540"/>
    <x v="757"/>
    <x v="0"/>
    <m/>
    <x v="0"/>
    <x v="0"/>
  </r>
  <r>
    <x v="776"/>
    <x v="8"/>
    <s v="Semi remorque"/>
    <x v="6"/>
    <s v="28659-D-1 "/>
    <m/>
    <x v="183"/>
    <s v="fuite d'huile moteur "/>
    <s v="c"/>
    <x v="1115"/>
    <n v="7462"/>
    <n v="1620"/>
    <n v="1620"/>
    <x v="758"/>
    <x v="0"/>
    <m/>
    <x v="0"/>
    <x v="0"/>
  </r>
  <r>
    <x v="776"/>
    <x v="19"/>
    <s v="Chargeur"/>
    <x v="12"/>
    <s v="-"/>
    <m/>
    <x v="24"/>
    <s v="demarrage moteur "/>
    <s v="c"/>
    <x v="1116"/>
    <n v="7467"/>
    <n v="120"/>
    <n v="120"/>
    <x v="757"/>
    <x v="0"/>
    <m/>
    <x v="0"/>
    <x v="0"/>
  </r>
  <r>
    <x v="777"/>
    <x v="8"/>
    <s v="Semi remorque"/>
    <x v="6"/>
    <s v="28659-D-1 "/>
    <m/>
    <x v="24"/>
    <s v="eclairage "/>
    <s v="C "/>
    <x v="1004"/>
    <n v="7503"/>
    <n v="120"/>
    <n v="120"/>
    <x v="759"/>
    <x v="0"/>
    <m/>
    <x v="0"/>
    <x v="0"/>
  </r>
  <r>
    <x v="778"/>
    <x v="11"/>
    <s v="Semi remorque"/>
    <x v="3"/>
    <s v="17886-A-73 "/>
    <m/>
    <x v="183"/>
    <s v="freinage "/>
    <s v="C "/>
    <x v="1117"/>
    <n v="7630"/>
    <n v="2700"/>
    <n v="5240"/>
    <x v="760"/>
    <x v="0"/>
    <m/>
    <x v="0"/>
    <x v="0"/>
  </r>
  <r>
    <x v="779"/>
    <x v="17"/>
    <s v="Bus de transport"/>
    <x v="11"/>
    <s v="18516-A-73"/>
    <m/>
    <x v="183"/>
    <s v="freinage "/>
    <s v="c"/>
    <x v="1118"/>
    <n v="7632"/>
    <n v="540"/>
    <n v="540"/>
    <x v="761"/>
    <x v="0"/>
    <m/>
    <x v="0"/>
    <x v="0"/>
  </r>
  <r>
    <x v="780"/>
    <x v="8"/>
    <s v="Semi remorque"/>
    <x v="6"/>
    <s v="28659-D-1 "/>
    <m/>
    <x v="183"/>
    <s v="entretien "/>
    <s v="P"/>
    <x v="1009"/>
    <n v="7715"/>
    <n v="240"/>
    <n v="240"/>
    <x v="760"/>
    <x v="0"/>
    <m/>
    <x v="0"/>
    <x v="0"/>
  </r>
  <r>
    <x v="781"/>
    <x v="0"/>
    <s v="Voiture de fonction"/>
    <x v="0"/>
    <s v="981-A-73"/>
    <m/>
    <x v="24"/>
    <s v="eclairage "/>
    <s v="c"/>
    <x v="1004"/>
    <n v="7787"/>
    <n v="120"/>
    <n v="120"/>
    <x v="762"/>
    <x v="0"/>
    <m/>
    <x v="0"/>
    <x v="0"/>
  </r>
  <r>
    <x v="781"/>
    <x v="38"/>
    <s v="Voiture de fonction"/>
    <x v="25"/>
    <s v="4812-A-73"/>
    <m/>
    <x v="24"/>
    <s v="signalisation"/>
    <s v="c"/>
    <x v="1119"/>
    <n v="7784"/>
    <n v="120"/>
    <n v="120"/>
    <x v="762"/>
    <x v="0"/>
    <m/>
    <x v="0"/>
    <x v="0"/>
  </r>
  <r>
    <x v="782"/>
    <x v="24"/>
    <s v="Voiture de fonction"/>
    <x v="0"/>
    <s v="10551-A-73"/>
    <m/>
    <x v="183"/>
    <s v="entretien "/>
    <s v="P"/>
    <x v="1120"/>
    <n v="7816"/>
    <n v="120"/>
    <n v="120"/>
    <x v="763"/>
    <x v="0"/>
    <m/>
    <x v="0"/>
    <x v="0"/>
  </r>
  <r>
    <x v="782"/>
    <x v="11"/>
    <s v="Semi remorque"/>
    <x v="3"/>
    <s v="17886-A-73 "/>
    <m/>
    <x v="183"/>
    <s v="freinage "/>
    <s v="C "/>
    <x v="1121"/>
    <n v="7822"/>
    <n v="120"/>
    <n v="120"/>
    <x v="763"/>
    <x v="0"/>
    <m/>
    <x v="0"/>
    <x v="0"/>
  </r>
  <r>
    <x v="783"/>
    <x v="18"/>
    <s v="Camion"/>
    <x v="5"/>
    <s v="4969-A-73 "/>
    <m/>
    <x v="190"/>
    <s v="eclairage "/>
    <s v="C "/>
    <x v="1061"/>
    <n v="7932"/>
    <n v="360"/>
    <n v="360"/>
    <x v="764"/>
    <x v="0"/>
    <m/>
    <x v="0"/>
    <x v="0"/>
  </r>
  <r>
    <x v="784"/>
    <x v="3"/>
    <s v="Camion"/>
    <x v="3"/>
    <s v="22300-A-73"/>
    <m/>
    <x v="183"/>
    <s v="entretien "/>
    <s v="P "/>
    <x v="1122"/>
    <n v="8137"/>
    <n v="180"/>
    <n v="1810"/>
    <x v="765"/>
    <x v="0"/>
    <m/>
    <x v="0"/>
    <x v="0"/>
  </r>
  <r>
    <x v="785"/>
    <x v="4"/>
    <s v="Camion"/>
    <x v="3"/>
    <s v="22299-A-73"/>
    <m/>
    <x v="183"/>
    <s v="injection AD blue "/>
    <s v="c"/>
    <x v="1123"/>
    <n v="8138"/>
    <n v="1620"/>
    <n v="1620"/>
    <x v="766"/>
    <x v="0"/>
    <m/>
    <x v="0"/>
    <x v="0"/>
  </r>
  <r>
    <x v="786"/>
    <x v="22"/>
    <s v="Chariot elevateur"/>
    <x v="14"/>
    <s v="-"/>
    <m/>
    <x v="24"/>
    <s v="demarrage moteur "/>
    <s v="c"/>
    <x v="1124"/>
    <n v="8139"/>
    <n v="540"/>
    <n v="540"/>
    <x v="767"/>
    <x v="0"/>
    <m/>
    <x v="0"/>
    <x v="0"/>
  </r>
  <r>
    <x v="786"/>
    <x v="32"/>
    <s v="Chariot elevateur"/>
    <x v="2"/>
    <s v="-"/>
    <m/>
    <x v="183"/>
    <s v="bruit anormale "/>
    <s v="c"/>
    <x v="1125"/>
    <n v="8140"/>
    <n v="540"/>
    <n v="540"/>
    <x v="767"/>
    <x v="0"/>
    <m/>
    <x v="0"/>
    <x v="0"/>
  </r>
  <r>
    <x v="786"/>
    <x v="0"/>
    <s v="Voiture de fonction"/>
    <x v="0"/>
    <s v="981-A-73"/>
    <m/>
    <x v="24"/>
    <s v="demarrage moteur "/>
    <s v="c"/>
    <x v="1126"/>
    <n v="8141"/>
    <n v="540"/>
    <n v="540"/>
    <x v="767"/>
    <x v="0"/>
    <m/>
    <x v="0"/>
    <x v="0"/>
  </r>
  <r>
    <x v="786"/>
    <x v="11"/>
    <s v="Semi remorque"/>
    <x v="3"/>
    <s v="17886-A-73 "/>
    <m/>
    <x v="24"/>
    <s v="demarrage moteur "/>
    <s v="C "/>
    <x v="1127"/>
    <n v="8142"/>
    <n v="120"/>
    <n v="120"/>
    <x v="767"/>
    <x v="0"/>
    <m/>
    <x v="0"/>
    <x v="0"/>
  </r>
  <r>
    <x v="786"/>
    <x v="1"/>
    <s v="Camion"/>
    <x v="1"/>
    <s v="26128-A-8"/>
    <m/>
    <x v="183"/>
    <s v="demarrage moteur "/>
    <s v="C "/>
    <x v="1128"/>
    <n v="8199"/>
    <n v="540"/>
    <n v="540"/>
    <x v="767"/>
    <x v="0"/>
    <m/>
    <x v="0"/>
    <x v="0"/>
  </r>
  <r>
    <x v="787"/>
    <x v="20"/>
    <s v="Camion"/>
    <x v="6"/>
    <s v="4790-B-8"/>
    <m/>
    <x v="183"/>
    <s v="demarrage moteur "/>
    <s v="c"/>
    <x v="1129"/>
    <s v=" "/>
    <n v="1080"/>
    <n v="1080"/>
    <x v="768"/>
    <x v="0"/>
    <m/>
    <x v="0"/>
    <x v="0"/>
  </r>
  <r>
    <x v="788"/>
    <x v="10"/>
    <s v="Camion"/>
    <x v="8"/>
    <s v="25636-A-13"/>
    <m/>
    <x v="183"/>
    <s v="entretien "/>
    <s v="P"/>
    <x v="1130"/>
    <n v="8269"/>
    <n v="180"/>
    <n v="180"/>
    <x v="769"/>
    <x v="0"/>
    <m/>
    <x v="0"/>
    <x v="0"/>
  </r>
  <r>
    <x v="789"/>
    <x v="12"/>
    <s v="Semi remorque"/>
    <x v="3"/>
    <s v="17885-A-73 "/>
    <m/>
    <x v="183"/>
    <s v="freinage "/>
    <s v="c"/>
    <x v="1131"/>
    <n v="8273"/>
    <n v="120"/>
    <n v="120"/>
    <x v="770"/>
    <x v="0"/>
    <m/>
    <x v="0"/>
    <x v="0"/>
  </r>
  <r>
    <x v="789"/>
    <x v="1"/>
    <s v="Camion"/>
    <x v="1"/>
    <s v="26128-A-8"/>
    <m/>
    <x v="183"/>
    <s v="demarage moteur "/>
    <s v="c"/>
    <x v="1132"/>
    <n v="8274"/>
    <n v="1080"/>
    <n v="1620"/>
    <x v="771"/>
    <x v="0"/>
    <m/>
    <x v="0"/>
    <x v="0"/>
  </r>
  <r>
    <x v="789"/>
    <x v="16"/>
    <s v="Camion"/>
    <x v="5"/>
    <s v="11470-A-73"/>
    <m/>
    <x v="24"/>
    <s v="charge du battrie "/>
    <s v="c"/>
    <x v="1133"/>
    <n v="8276"/>
    <n v="240"/>
    <n v="540"/>
    <x v="772"/>
    <x v="0"/>
    <m/>
    <x v="0"/>
    <x v="0"/>
  </r>
  <r>
    <x v="790"/>
    <x v="1"/>
    <s v="Camion"/>
    <x v="1"/>
    <s v="26128-A-8"/>
    <m/>
    <x v="183"/>
    <s v="refroidissement moteur "/>
    <s v="c"/>
    <x v="1134"/>
    <n v="8300"/>
    <n v="540"/>
    <n v="1080"/>
    <x v="773"/>
    <x v="0"/>
    <m/>
    <x v="0"/>
    <x v="0"/>
  </r>
  <r>
    <x v="791"/>
    <x v="8"/>
    <s v="Semi remorque"/>
    <x v="6"/>
    <s v="28659-D-1 "/>
    <m/>
    <x v="24"/>
    <s v="eclairage"/>
    <s v="c"/>
    <x v="1135"/>
    <n v="8372"/>
    <n v="120"/>
    <n v="120"/>
    <x v="774"/>
    <x v="0"/>
    <m/>
    <x v="0"/>
    <x v="0"/>
  </r>
  <r>
    <x v="791"/>
    <x v="11"/>
    <s v="Semi remorque"/>
    <x v="3"/>
    <s v="17886-A-73 "/>
    <m/>
    <x v="183"/>
    <s v="pneus "/>
    <s v="c"/>
    <x v="1136"/>
    <n v="8373"/>
    <n v="120"/>
    <n v="120"/>
    <x v="774"/>
    <x v="0"/>
    <m/>
    <x v="0"/>
    <x v="0"/>
  </r>
  <r>
    <x v="791"/>
    <x v="9"/>
    <s v="Bus de transport"/>
    <x v="7"/>
    <s v="22772-A-73"/>
    <m/>
    <x v="183"/>
    <s v="demarrage moteur "/>
    <s v="c"/>
    <x v="1137"/>
    <s v="8410/8414"/>
    <n v="240"/>
    <n v="240"/>
    <x v="774"/>
    <x v="0"/>
    <m/>
    <x v="0"/>
    <x v="0"/>
  </r>
  <r>
    <x v="792"/>
    <x v="7"/>
    <s v="Camion"/>
    <x v="5"/>
    <s v=" 11469-A-73"/>
    <m/>
    <x v="183"/>
    <s v="entretien "/>
    <s v="P"/>
    <x v="1138"/>
    <n v="8492"/>
    <n v="540"/>
    <n v="540"/>
    <x v="775"/>
    <x v="0"/>
    <m/>
    <x v="0"/>
    <x v="0"/>
  </r>
  <r>
    <x v="792"/>
    <x v="7"/>
    <s v="Camion"/>
    <x v="5"/>
    <s v=" 11469-A-73"/>
    <m/>
    <x v="183"/>
    <s v="demarrage moteur "/>
    <s v="C "/>
    <x v="1139"/>
    <n v="8493"/>
    <n v="120"/>
    <n v="120"/>
    <x v="775"/>
    <x v="0"/>
    <m/>
    <x v="0"/>
    <x v="0"/>
  </r>
  <r>
    <x v="793"/>
    <x v="33"/>
    <s v="Chariot elevateur"/>
    <x v="18"/>
    <s v="-"/>
    <m/>
    <x v="183"/>
    <s v="courroie de ventilateur "/>
    <s v="c"/>
    <x v="1140"/>
    <n v="8599"/>
    <n v="120"/>
    <n v="120"/>
    <x v="776"/>
    <x v="0"/>
    <m/>
    <x v="0"/>
    <x v="0"/>
  </r>
  <r>
    <x v="794"/>
    <x v="13"/>
    <s v="Camion"/>
    <x v="5"/>
    <s v="4703-A-73"/>
    <m/>
    <x v="183"/>
    <s v="fuite d'huile "/>
    <s v="P"/>
    <x v="1141"/>
    <n v="8749"/>
    <n v="180"/>
    <n v="240"/>
    <x v="777"/>
    <x v="0"/>
    <m/>
    <x v="0"/>
    <x v="0"/>
  </r>
  <r>
    <x v="794"/>
    <x v="29"/>
    <s v="Chariot elevateur"/>
    <x v="16"/>
    <s v="-"/>
    <m/>
    <x v="183"/>
    <s v="demarrage moteur "/>
    <s v="C "/>
    <x v="1142"/>
    <n v="8763"/>
    <n v="1620"/>
    <n v="3440"/>
    <x v="778"/>
    <x v="0"/>
    <m/>
    <x v="0"/>
    <x v="0"/>
  </r>
  <r>
    <x v="795"/>
    <x v="23"/>
    <s v="Semi remorque"/>
    <x v="6"/>
    <s v="706-A-73"/>
    <m/>
    <x v="183"/>
    <s v="entretien et fuite d'air "/>
    <s v="c"/>
    <x v="1143"/>
    <n v="8759"/>
    <n v="540"/>
    <n v="540"/>
    <x v="779"/>
    <x v="0"/>
    <m/>
    <x v="0"/>
    <x v="0"/>
  </r>
  <r>
    <x v="795"/>
    <x v="13"/>
    <s v="Camion"/>
    <x v="5"/>
    <s v="4703-A-73"/>
    <m/>
    <x v="185"/>
    <s v="embrayage "/>
    <s v="c"/>
    <x v="1144"/>
    <n v="8762"/>
    <n v="2700"/>
    <n v="3440"/>
    <x v="780"/>
    <x v="0"/>
    <m/>
    <x v="0"/>
    <x v="0"/>
  </r>
  <r>
    <x v="795"/>
    <x v="38"/>
    <s v="Voiture de fonction"/>
    <x v="25"/>
    <s v="4812-A-73"/>
    <m/>
    <x v="183"/>
    <s v="entretien "/>
    <s v="P "/>
    <x v="1145"/>
    <n v="8764"/>
    <n v="180"/>
    <n v="180"/>
    <x v="779"/>
    <x v="0"/>
    <m/>
    <x v="0"/>
    <x v="0"/>
  </r>
  <r>
    <x v="796"/>
    <x v="23"/>
    <s v="Semi remorque"/>
    <x v="6"/>
    <s v="706-A-73"/>
    <m/>
    <x v="183"/>
    <s v="entretien "/>
    <s v="P "/>
    <x v="1146"/>
    <n v="8815"/>
    <n v="120"/>
    <n v="120"/>
    <x v="781"/>
    <x v="0"/>
    <m/>
    <x v="0"/>
    <x v="0"/>
  </r>
  <r>
    <x v="796"/>
    <x v="3"/>
    <s v="Camion"/>
    <x v="3"/>
    <s v="22300-A-73"/>
    <m/>
    <x v="183"/>
    <s v="demrrage moteur "/>
    <s v="C "/>
    <x v="1100"/>
    <n v="8818"/>
    <n v="120"/>
    <n v="120"/>
    <x v="781"/>
    <x v="0"/>
    <m/>
    <x v="0"/>
    <x v="0"/>
  </r>
  <r>
    <x v="796"/>
    <x v="20"/>
    <s v="Camion"/>
    <x v="6"/>
    <s v="4790-B-8"/>
    <m/>
    <x v="24"/>
    <s v="demrrage moteur "/>
    <s v="C "/>
    <x v="1147"/>
    <n v="8848"/>
    <n v="540"/>
    <n v="540"/>
    <x v="781"/>
    <x v="0"/>
    <m/>
    <x v="0"/>
    <x v="0"/>
  </r>
  <r>
    <x v="797"/>
    <x v="11"/>
    <s v="Semi remorque"/>
    <x v="3"/>
    <s v="17886-A-73 "/>
    <m/>
    <x v="24"/>
    <s v="eclairage"/>
    <s v="c"/>
    <x v="1098"/>
    <n v="8867"/>
    <n v="120"/>
    <n v="120"/>
    <x v="782"/>
    <x v="0"/>
    <m/>
    <x v="0"/>
    <x v="0"/>
  </r>
  <r>
    <x v="798"/>
    <x v="5"/>
    <s v="Semi remorque"/>
    <x v="3"/>
    <s v="70352-A-6"/>
    <m/>
    <x v="185"/>
    <s v="Embrayage "/>
    <s v="c"/>
    <x v="1148"/>
    <n v="8925"/>
    <n v="540"/>
    <n v="540"/>
    <x v="780"/>
    <x v="0"/>
    <m/>
    <x v="0"/>
    <x v="0"/>
  </r>
  <r>
    <x v="799"/>
    <x v="10"/>
    <s v="Camion"/>
    <x v="8"/>
    <s v="25636-A-13"/>
    <m/>
    <x v="183"/>
    <s v="Pneu  "/>
    <s v="c"/>
    <x v="1149"/>
    <n v="8941"/>
    <n v="240"/>
    <n v="240"/>
    <x v="783"/>
    <x v="0"/>
    <m/>
    <x v="0"/>
    <x v="0"/>
  </r>
  <r>
    <x v="799"/>
    <x v="23"/>
    <s v="Semi remorque"/>
    <x v="6"/>
    <s v="706-A-73"/>
    <m/>
    <x v="183"/>
    <s v="pneu "/>
    <s v="c"/>
    <x v="1150"/>
    <n v="8941"/>
    <n v="120"/>
    <n v="120"/>
    <x v="783"/>
    <x v="0"/>
    <m/>
    <x v="0"/>
    <x v="0"/>
  </r>
  <r>
    <x v="800"/>
    <x v="23"/>
    <s v="Semi remorque"/>
    <x v="6"/>
    <s v="706-A-73"/>
    <m/>
    <x v="183"/>
    <s v="freinage "/>
    <s v="c"/>
    <x v="1151"/>
    <n v="8981"/>
    <n v="2700"/>
    <n v="3780"/>
    <x v="784"/>
    <x v="0"/>
    <m/>
    <x v="0"/>
    <x v="0"/>
  </r>
  <r>
    <x v="800"/>
    <x v="26"/>
    <s v="Chariot elevateur"/>
    <x v="15"/>
    <s v="-"/>
    <m/>
    <x v="183"/>
    <s v="entretien "/>
    <s v="P"/>
    <x v="1152"/>
    <s v="7883/7884"/>
    <n v="240"/>
    <n v="240"/>
    <x v="785"/>
    <x v="0"/>
    <m/>
    <x v="0"/>
    <x v="0"/>
  </r>
  <r>
    <x v="800"/>
    <x v="18"/>
    <s v="Camion"/>
    <x v="5"/>
    <s v="4969-A-73 "/>
    <m/>
    <x v="183"/>
    <s v="Embrayage "/>
    <s v="c"/>
    <x v="1153"/>
    <n v="8984"/>
    <n v="1080"/>
    <n v="1080"/>
    <x v="786"/>
    <x v="0"/>
    <m/>
    <x v="0"/>
    <x v="0"/>
  </r>
  <r>
    <x v="800"/>
    <x v="33"/>
    <s v="Chariot elevateur"/>
    <x v="18"/>
    <s v="-"/>
    <m/>
    <x v="183"/>
    <s v="pneus "/>
    <s v="c"/>
    <x v="1154"/>
    <n v="8985"/>
    <n v="540"/>
    <n v="540"/>
    <x v="785"/>
    <x v="0"/>
    <m/>
    <x v="0"/>
    <x v="0"/>
  </r>
  <r>
    <x v="800"/>
    <x v="4"/>
    <s v="Camion"/>
    <x v="3"/>
    <s v="22299-A-73"/>
    <m/>
    <x v="183"/>
    <s v="pneus "/>
    <s v="c"/>
    <x v="1136"/>
    <n v="8986"/>
    <n v="120"/>
    <n v="120"/>
    <x v="785"/>
    <x v="0"/>
    <m/>
    <x v="0"/>
    <x v="0"/>
  </r>
  <r>
    <x v="800"/>
    <x v="11"/>
    <s v="Semi remorque"/>
    <x v="3"/>
    <s v="17886-A-73 "/>
    <m/>
    <x v="183"/>
    <s v="pneu "/>
    <s v="c"/>
    <x v="1006"/>
    <n v="8988"/>
    <n v="120"/>
    <n v="120"/>
    <x v="785"/>
    <x v="0"/>
    <m/>
    <x v="0"/>
    <x v="0"/>
  </r>
  <r>
    <x v="801"/>
    <x v="3"/>
    <s v="Camion"/>
    <x v="3"/>
    <s v="22300-A-73"/>
    <m/>
    <x v="183"/>
    <s v="eclairage "/>
    <s v="c"/>
    <x v="1004"/>
    <n v="9176"/>
    <n v="180"/>
    <n v="180"/>
    <x v="787"/>
    <x v="0"/>
    <m/>
    <x v="0"/>
    <x v="0"/>
  </r>
  <r>
    <x v="801"/>
    <x v="18"/>
    <s v="Camion"/>
    <x v="5"/>
    <s v="4969-A-73 "/>
    <m/>
    <x v="183"/>
    <s v="fuite d'air de frein "/>
    <s v="c"/>
    <x v="1155"/>
    <m/>
    <n v="540"/>
    <n v="540"/>
    <x v="787"/>
    <x v="0"/>
    <m/>
    <x v="0"/>
    <x v="0"/>
  </r>
  <r>
    <x v="802"/>
    <x v="29"/>
    <s v="Chariot elevateur"/>
    <x v="16"/>
    <s v="-"/>
    <m/>
    <x v="183"/>
    <s v="pneu "/>
    <s v="c"/>
    <x v="1156"/>
    <n v="9193"/>
    <n v="1080"/>
    <n v="1080"/>
    <x v="788"/>
    <x v="0"/>
    <m/>
    <x v="0"/>
    <x v="0"/>
  </r>
  <r>
    <x v="802"/>
    <x v="28"/>
    <s v="Chariot elevateur"/>
    <x v="13"/>
    <s v="-"/>
    <m/>
    <x v="24"/>
    <s v="demarrage moteur "/>
    <s v="c"/>
    <x v="1157"/>
    <n v="9199"/>
    <n v="120"/>
    <n v="120"/>
    <x v="789"/>
    <x v="0"/>
    <m/>
    <x v="0"/>
    <x v="0"/>
  </r>
  <r>
    <x v="802"/>
    <x v="29"/>
    <s v="Chariot elevateur"/>
    <x v="16"/>
    <s v="-"/>
    <m/>
    <x v="183"/>
    <s v="changement des pneus"/>
    <s v="c"/>
    <x v="1158"/>
    <n v="9193"/>
    <n v="1080"/>
    <n v="1080"/>
    <x v="790"/>
    <x v="0"/>
    <m/>
    <x v="0"/>
    <x v="0"/>
  </r>
  <r>
    <x v="802"/>
    <x v="5"/>
    <s v="Semi remorque"/>
    <x v="3"/>
    <s v="70352-A-6"/>
    <m/>
    <x v="24"/>
    <s v="demarrage moteur "/>
    <s v="c"/>
    <x v="1159"/>
    <n v="9190"/>
    <n v="120"/>
    <n v="120"/>
    <x v="789"/>
    <x v="0"/>
    <m/>
    <x v="0"/>
    <x v="0"/>
  </r>
  <r>
    <x v="802"/>
    <x v="4"/>
    <s v="Camion"/>
    <x v="3"/>
    <s v="22299-A-73"/>
    <m/>
    <x v="183"/>
    <s v="entretien "/>
    <s v="P "/>
    <x v="1122"/>
    <n v="9191"/>
    <n v="120"/>
    <n v="120"/>
    <x v="789"/>
    <x v="0"/>
    <m/>
    <x v="0"/>
    <x v="0"/>
  </r>
  <r>
    <x v="802"/>
    <x v="28"/>
    <s v="Chariot elevateur"/>
    <x v="13"/>
    <s v="-"/>
    <m/>
    <x v="183"/>
    <s v="demarrage moteur "/>
    <s v="c"/>
    <x v="1157"/>
    <n v="9199"/>
    <n v="180"/>
    <n v="180"/>
    <x v="789"/>
    <x v="0"/>
    <m/>
    <x v="0"/>
    <x v="0"/>
  </r>
  <r>
    <x v="803"/>
    <x v="11"/>
    <s v="Semi remorque"/>
    <x v="3"/>
    <s v="17886-A-73 "/>
    <m/>
    <x v="183"/>
    <s v="freinage "/>
    <s v="C "/>
    <x v="1160"/>
    <n v="9192"/>
    <n v="540"/>
    <n v="540"/>
    <x v="791"/>
    <x v="0"/>
    <m/>
    <x v="0"/>
    <x v="0"/>
  </r>
  <r>
    <x v="803"/>
    <x v="20"/>
    <s v="Camion"/>
    <x v="6"/>
    <s v="4790-B-8"/>
    <m/>
    <x v="183"/>
    <s v="demarrage moteur "/>
    <s v="C "/>
    <x v="1161"/>
    <n v="9240"/>
    <n v="1620"/>
    <n v="1620"/>
    <x v="792"/>
    <x v="0"/>
    <m/>
    <x v="0"/>
    <x v="0"/>
  </r>
  <r>
    <x v="804"/>
    <x v="4"/>
    <s v="Camion"/>
    <x v="3"/>
    <s v="22299-A-73"/>
    <m/>
    <x v="183"/>
    <s v="fuite d'air compirmé"/>
    <s v="c"/>
    <x v="1162"/>
    <n v="9337"/>
    <n v="120"/>
    <n v="120"/>
    <x v="793"/>
    <x v="0"/>
    <m/>
    <x v="0"/>
    <x v="0"/>
  </r>
  <r>
    <x v="805"/>
    <x v="3"/>
    <s v="Camion"/>
    <x v="3"/>
    <s v="22300-A-73"/>
    <m/>
    <x v="183"/>
    <s v="eclairage "/>
    <s v="c"/>
    <x v="1163"/>
    <n v="9458"/>
    <n v="120"/>
    <n v="120"/>
    <x v="794"/>
    <x v="0"/>
    <m/>
    <x v="0"/>
    <x v="0"/>
  </r>
  <r>
    <x v="805"/>
    <x v="1"/>
    <s v="Camion"/>
    <x v="1"/>
    <s v="26128-A-8"/>
    <m/>
    <x v="183"/>
    <s v="Electrique "/>
    <s v="c"/>
    <x v="1164"/>
    <n v="9457"/>
    <n v="540"/>
    <n v="540"/>
    <x v="794"/>
    <x v="0"/>
    <m/>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Tableau croisé dynamique1" cacheId="4" applyNumberFormats="0" applyBorderFormats="0" applyFontFormats="0" applyPatternFormats="0" applyAlignmentFormats="0" applyWidthHeightFormats="1" dataCaption="Valeurs" updatedVersion="3" minRefreshableVersion="3" showCalcMbrs="0" useAutoFormatting="1" itemPrintTitles="1" createdVersion="3" indent="0" outline="1" outlineData="1" multipleFieldFilters="0" rowHeaderCaption="">
  <location ref="A3:C20" firstHeaderRow="1" firstDataRow="1" firstDataCol="0"/>
  <pivotFields count="18">
    <pivotField showAll="0"/>
    <pivotField showAll="0">
      <items count="48">
        <item x="31"/>
        <item x="1"/>
        <item x="20"/>
        <item x="25"/>
        <item x="5"/>
        <item x="23"/>
        <item x="13"/>
        <item x="18"/>
        <item x="8"/>
        <item x="10"/>
        <item x="19"/>
        <item x="14"/>
        <item x="0"/>
        <item x="38"/>
        <item x="42"/>
        <item x="35"/>
        <item x="34"/>
        <item x="22"/>
        <item x="28"/>
        <item x="21"/>
        <item x="15"/>
        <item x="29"/>
        <item x="26"/>
        <item x="27"/>
        <item x="24"/>
        <item x="2"/>
        <item x="7"/>
        <item x="16"/>
        <item x="12"/>
        <item x="11"/>
        <item x="37"/>
        <item x="36"/>
        <item x="17"/>
        <item x="33"/>
        <item x="32"/>
        <item x="9"/>
        <item x="4"/>
        <item x="3"/>
        <item x="6"/>
        <item x="43"/>
        <item x="44"/>
        <item x="45"/>
        <item x="46"/>
        <item x="39"/>
        <item x="41"/>
        <item x="40"/>
        <item x="30"/>
        <item t="default"/>
      </items>
    </pivotField>
    <pivotField showAll="0"/>
    <pivotField showAll="0"/>
    <pivotField showAll="0"/>
    <pivotField showAll="0"/>
    <pivotField showAll="0"/>
    <pivotField showAll="0"/>
    <pivotField showAll="0">
      <items count="10">
        <item x="5"/>
        <item x="0"/>
        <item x="3"/>
        <item x="7"/>
        <item x="8"/>
        <item x="1"/>
        <item x="4"/>
        <item x="6"/>
        <item x="2"/>
        <item t="default"/>
      </items>
    </pivotField>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Tableau croisé dynamique2" cacheId="4" applyNumberFormats="0" applyBorderFormats="0" applyFontFormats="0" applyPatternFormats="0" applyAlignmentFormats="0" applyWidthHeightFormats="1" dataCaption="Valeurs" updatedVersion="3" minRefreshableVersion="3" useAutoFormatting="1" rowGrandTotals="0" colGrandTotals="0" itemPrintTitles="1" createdVersion="7" indent="0" outline="1" outlineData="1" multipleFieldFilters="0">
  <location ref="A6:D6" firstHeaderRow="1" firstDataRow="1" firstDataCol="3" rowPageCount="4" colPageCount="1"/>
  <pivotFields count="18">
    <pivotField showAll="0" defaultSubtotal="0"/>
    <pivotField axis="axisRow" outline="0" showAll="0" defaultSubtotal="0">
      <items count="47">
        <item x="31"/>
        <item x="1"/>
        <item x="20"/>
        <item x="25"/>
        <item x="5"/>
        <item x="23"/>
        <item x="13"/>
        <item x="18"/>
        <item x="8"/>
        <item x="10"/>
        <item x="19"/>
        <item x="14"/>
        <item x="0"/>
        <item x="38"/>
        <item x="35"/>
        <item x="34"/>
        <item x="22"/>
        <item x="28"/>
        <item x="21"/>
        <item x="15"/>
        <item x="29"/>
        <item x="26"/>
        <item x="27"/>
        <item x="24"/>
        <item x="2"/>
        <item x="7"/>
        <item x="16"/>
        <item x="12"/>
        <item x="11"/>
        <item x="37"/>
        <item x="36"/>
        <item x="17"/>
        <item x="33"/>
        <item x="32"/>
        <item x="9"/>
        <item x="4"/>
        <item x="3"/>
        <item x="6"/>
        <item x="30"/>
        <item x="39"/>
        <item x="40"/>
        <item x="41"/>
        <item x="42"/>
        <item x="43"/>
        <item x="44"/>
        <item x="45"/>
        <item x="46"/>
      </items>
    </pivotField>
    <pivotField axis="axisPage" multipleItemSelectionAllowed="1" showAll="0" defaultSubtotal="0">
      <items count="21">
        <item x="9"/>
        <item x="10"/>
        <item x="6"/>
        <item x="5"/>
        <item x="1"/>
        <item x="7"/>
        <item x="2"/>
        <item x="12"/>
        <item x="4"/>
        <item x="3"/>
        <item x="8"/>
        <item x="0"/>
        <item x="11"/>
        <item x="13"/>
        <item x="14"/>
        <item x="15"/>
        <item x="16"/>
        <item x="17"/>
        <item x="18"/>
        <item x="19"/>
        <item x="20"/>
      </items>
    </pivotField>
    <pivotField axis="axisRow" outline="0" showAll="0" defaultSubtotal="0">
      <items count="30">
        <item x="24"/>
        <item x="23"/>
        <item x="0"/>
        <item x="9"/>
        <item x="12"/>
        <item x="17"/>
        <item x="16"/>
        <item x="10"/>
        <item x="19"/>
        <item x="7"/>
        <item x="11"/>
        <item x="4"/>
        <item x="1"/>
        <item x="25"/>
        <item x="28"/>
        <item x="18"/>
        <item x="13"/>
        <item x="2"/>
        <item x="21"/>
        <item x="6"/>
        <item x="15"/>
        <item x="14"/>
        <item x="5"/>
        <item x="8"/>
        <item x="3"/>
        <item x="20"/>
        <item x="26"/>
        <item x="22"/>
        <item x="27"/>
        <item x="29"/>
      </items>
    </pivotField>
    <pivotField axis="axisRow" outline="0" showAll="0" defaultSubtotal="0">
      <items count="30">
        <item x="28"/>
        <item x="2"/>
        <item x="24"/>
        <item x="7"/>
        <item x="20"/>
        <item x="21"/>
        <item x="19"/>
        <item x="14"/>
        <item x="12"/>
        <item x="11"/>
        <item x="15"/>
        <item x="4"/>
        <item x="3"/>
        <item x="6"/>
        <item x="9"/>
        <item x="10"/>
        <item x="1"/>
        <item x="8"/>
        <item x="22"/>
        <item x="13"/>
        <item x="17"/>
        <item x="25"/>
        <item x="16"/>
        <item x="23"/>
        <item x="5"/>
        <item x="18"/>
        <item x="0"/>
        <item x="26"/>
        <item x="27"/>
        <item x="29"/>
      </items>
    </pivotField>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axis="axisPage" multipleItemSelectionAllowed="1" showAll="0" defaultSubtotal="0">
      <items count="801">
        <item x="1"/>
        <item x="2"/>
        <item x="3"/>
        <item x="4"/>
        <item x="5"/>
        <item x="6"/>
        <item x="7"/>
        <item x="8"/>
        <item x="9"/>
        <item x="10"/>
        <item x="11"/>
        <item x="12"/>
        <item x="13"/>
        <item x="14"/>
        <item x="15"/>
        <item x="16"/>
        <item x="17"/>
        <item x="18"/>
        <item x="19"/>
        <item x="20"/>
        <item x="21"/>
        <item x="22"/>
        <item x="24"/>
        <item x="25"/>
        <item x="26"/>
        <item x="27"/>
        <item x="28"/>
        <item x="29"/>
        <item x="30"/>
        <item x="31"/>
        <item x="32"/>
        <item x="33"/>
        <item x="35"/>
        <item x="36"/>
        <item x="37"/>
        <item x="38"/>
        <item x="39"/>
        <item x="40"/>
        <item x="42"/>
        <item x="43"/>
        <item x="23"/>
        <item x="44"/>
        <item x="45"/>
        <item x="41"/>
        <item x="46"/>
        <item x="47"/>
        <item x="49"/>
        <item x="51"/>
        <item x="50"/>
        <item x="53"/>
        <item x="54"/>
        <item x="48"/>
        <item x="56"/>
        <item x="58"/>
        <item x="55"/>
        <item x="59"/>
        <item x="60"/>
        <item x="61"/>
        <item x="52"/>
        <item x="63"/>
        <item x="64"/>
        <item x="67"/>
        <item x="65"/>
        <item x="69"/>
        <item x="68"/>
        <item x="70"/>
        <item x="71"/>
        <item x="73"/>
        <item x="74"/>
        <item x="75"/>
        <item x="76"/>
        <item x="62"/>
        <item x="77"/>
        <item x="72"/>
        <item x="34"/>
        <item x="80"/>
        <item x="66"/>
        <item x="81"/>
        <item x="82"/>
        <item x="83"/>
        <item x="84"/>
        <item x="85"/>
        <item x="79"/>
        <item x="86"/>
        <item x="87"/>
        <item x="88"/>
        <item x="90"/>
        <item x="91"/>
        <item x="89"/>
        <item x="92"/>
        <item x="93"/>
        <item x="94"/>
        <item x="95"/>
        <item x="96"/>
        <item x="98"/>
        <item x="97"/>
        <item x="99"/>
        <item x="100"/>
        <item x="101"/>
        <item x="102"/>
        <item x="103"/>
        <item x="104"/>
        <item x="105"/>
        <item x="106"/>
        <item x="107"/>
        <item x="108"/>
        <item x="109"/>
        <item x="110"/>
        <item x="111"/>
        <item x="112"/>
        <item x="113"/>
        <item x="114"/>
        <item x="115"/>
        <item x="116"/>
        <item x="118"/>
        <item x="119"/>
        <item x="120"/>
        <item x="121"/>
        <item x="123"/>
        <item x="122"/>
        <item x="125"/>
        <item x="124"/>
        <item x="126"/>
        <item x="127"/>
        <item x="128"/>
        <item x="129"/>
        <item x="130"/>
        <item x="131"/>
        <item x="117"/>
        <item x="133"/>
        <item x="132"/>
        <item x="134"/>
        <item x="136"/>
        <item x="135"/>
        <item x="139"/>
        <item x="137"/>
        <item x="141"/>
        <item x="138"/>
        <item x="140"/>
        <item x="144"/>
        <item x="143"/>
        <item x="145"/>
        <item x="147"/>
        <item x="149"/>
        <item x="151"/>
        <item x="152"/>
        <item x="142"/>
        <item x="154"/>
        <item x="155"/>
        <item x="153"/>
        <item x="150"/>
        <item x="157"/>
        <item x="158"/>
        <item x="159"/>
        <item x="161"/>
        <item x="146"/>
        <item x="160"/>
        <item x="162"/>
        <item x="163"/>
        <item x="165"/>
        <item x="167"/>
        <item x="169"/>
        <item x="164"/>
        <item x="171"/>
        <item x="172"/>
        <item x="173"/>
        <item x="170"/>
        <item x="174"/>
        <item x="156"/>
        <item x="175"/>
        <item x="177"/>
        <item x="178"/>
        <item x="179"/>
        <item x="180"/>
        <item x="176"/>
        <item x="181"/>
        <item x="148"/>
        <item x="182"/>
        <item x="168"/>
        <item x="184"/>
        <item x="183"/>
        <item x="186"/>
        <item x="187"/>
        <item x="188"/>
        <item x="189"/>
        <item x="190"/>
        <item x="192"/>
        <item x="193"/>
        <item x="195"/>
        <item x="196"/>
        <item x="197"/>
        <item x="185"/>
        <item x="198"/>
        <item x="200"/>
        <item x="201"/>
        <item x="202"/>
        <item x="199"/>
        <item x="203"/>
        <item x="191"/>
        <item x="194"/>
        <item x="206"/>
        <item x="207"/>
        <item x="78"/>
        <item x="208"/>
        <item x="205"/>
        <item x="204"/>
        <item x="209"/>
        <item x="210"/>
        <item x="212"/>
        <item x="211"/>
        <item x="214"/>
        <item x="216"/>
        <item x="217"/>
        <item x="219"/>
        <item x="213"/>
        <item x="221"/>
        <item x="222"/>
        <item x="224"/>
        <item x="225"/>
        <item x="226"/>
        <item x="227"/>
        <item x="228"/>
        <item x="229"/>
        <item x="230"/>
        <item x="223"/>
        <item x="232"/>
        <item x="234"/>
        <item x="231"/>
        <item x="233"/>
        <item x="220"/>
        <item x="236"/>
        <item x="235"/>
        <item x="241"/>
        <item x="242"/>
        <item x="215"/>
        <item x="240"/>
        <item x="246"/>
        <item x="218"/>
        <item x="239"/>
        <item x="247"/>
        <item x="243"/>
        <item x="245"/>
        <item x="251"/>
        <item x="244"/>
        <item x="252"/>
        <item x="253"/>
        <item x="254"/>
        <item x="250"/>
        <item x="249"/>
        <item x="237"/>
        <item x="257"/>
        <item x="258"/>
        <item x="259"/>
        <item x="248"/>
        <item x="261"/>
        <item x="263"/>
        <item x="264"/>
        <item x="262"/>
        <item x="266"/>
        <item x="256"/>
        <item x="267"/>
        <item x="265"/>
        <item x="255"/>
        <item x="57"/>
        <item x="238"/>
        <item x="260"/>
        <item x="275"/>
        <item x="273"/>
        <item x="268"/>
        <item x="270"/>
        <item x="271"/>
        <item x="272"/>
        <item x="269"/>
        <item x="274"/>
        <item x="277"/>
        <item x="279"/>
        <item x="276"/>
        <item x="280"/>
        <item x="281"/>
        <item x="282"/>
        <item x="283"/>
        <item x="278"/>
        <item x="285"/>
        <item x="286"/>
        <item x="287"/>
        <item x="284"/>
        <item x="288"/>
        <item x="291"/>
        <item x="290"/>
        <item x="296"/>
        <item x="289"/>
        <item x="297"/>
        <item x="298"/>
        <item x="293"/>
        <item x="295"/>
        <item x="292"/>
        <item x="301"/>
        <item x="294"/>
        <item x="299"/>
        <item x="300"/>
        <item x="302"/>
        <item x="303"/>
        <item x="306"/>
        <item x="307"/>
        <item x="309"/>
        <item x="310"/>
        <item x="304"/>
        <item x="311"/>
        <item x="314"/>
        <item x="308"/>
        <item x="313"/>
        <item x="315"/>
        <item x="316"/>
        <item x="320"/>
        <item x="317"/>
        <item x="322"/>
        <item x="318"/>
        <item x="321"/>
        <item x="319"/>
        <item x="305"/>
        <item x="312"/>
        <item x="323"/>
        <item x="324"/>
        <item x="328"/>
        <item x="330"/>
        <item x="331"/>
        <item x="332"/>
        <item x="329"/>
        <item x="327"/>
        <item x="325"/>
        <item x="333"/>
        <item x="326"/>
        <item x="334"/>
        <item x="335"/>
        <item x="336"/>
        <item x="337"/>
        <item x="338"/>
        <item x="339"/>
        <item x="340"/>
        <item x="341"/>
        <item x="342"/>
        <item x="343"/>
        <item x="345"/>
        <item x="346"/>
        <item x="347"/>
        <item x="348"/>
        <item x="349"/>
        <item x="0"/>
        <item x="350"/>
        <item x="344"/>
        <item x="353"/>
        <item x="354"/>
        <item x="367"/>
        <item x="361"/>
        <item x="357"/>
        <item x="355"/>
        <item x="356"/>
        <item x="358"/>
        <item x="360"/>
        <item x="362"/>
        <item x="363"/>
        <item x="359"/>
        <item m="1" x="796"/>
        <item x="365"/>
        <item x="351"/>
        <item x="366"/>
        <item x="364"/>
        <item x="368"/>
        <item m="1" x="800"/>
        <item m="1" x="798"/>
        <item x="369"/>
        <item x="371"/>
        <item x="370"/>
        <item x="372"/>
        <item x="373"/>
        <item x="374"/>
        <item x="375"/>
        <item x="377"/>
        <item x="378"/>
        <item x="376"/>
        <item x="380"/>
        <item x="352"/>
        <item x="381"/>
        <item x="379"/>
        <item x="384"/>
        <item x="383"/>
        <item x="385"/>
        <item x="386"/>
        <item x="387"/>
        <item x="388"/>
        <item x="389"/>
        <item x="166"/>
        <item x="382"/>
        <item x="391"/>
        <item x="392"/>
        <item m="1" x="797"/>
        <item m="1" x="799"/>
        <item m="1" x="795"/>
        <item x="393"/>
        <item x="390"/>
        <item x="395"/>
        <item x="394"/>
        <item x="396"/>
        <item x="397"/>
        <item x="398"/>
        <item x="399"/>
        <item x="402"/>
        <item x="403"/>
        <item x="400"/>
        <item x="404"/>
        <item x="405"/>
        <item x="406"/>
        <item x="407"/>
        <item x="408"/>
        <item x="401"/>
        <item x="409"/>
        <item x="413"/>
        <item x="414"/>
        <item x="415"/>
        <item x="410"/>
        <item x="424"/>
        <item x="411"/>
        <item x="412"/>
        <item x="421"/>
        <item x="416"/>
        <item x="417"/>
        <item x="418"/>
        <item x="419"/>
        <item x="420"/>
        <item x="422"/>
        <item x="430"/>
        <item x="425"/>
        <item x="423"/>
        <item x="429"/>
        <item x="431"/>
        <item x="427"/>
        <item x="428"/>
        <item x="436"/>
        <item x="426"/>
        <item x="434"/>
        <item x="437"/>
        <item x="438"/>
        <item x="432"/>
        <item x="435"/>
        <item x="439"/>
        <item x="440"/>
        <item x="442"/>
        <item x="433"/>
        <item x="443"/>
        <item x="441"/>
        <item x="446"/>
        <item x="444"/>
        <item x="447"/>
        <item x="448"/>
        <item x="445"/>
        <item x="453"/>
        <item x="450"/>
        <item x="455"/>
        <item x="454"/>
        <item x="456"/>
        <item x="457"/>
        <item x="459"/>
        <item x="460"/>
        <item x="461"/>
        <item x="462"/>
        <item x="463"/>
        <item x="478"/>
        <item x="466"/>
        <item x="464"/>
        <item x="465"/>
        <item x="468"/>
        <item x="469"/>
        <item x="486"/>
        <item x="467"/>
        <item x="471"/>
        <item x="473"/>
        <item x="474"/>
        <item x="475"/>
        <item x="476"/>
        <item x="477"/>
        <item x="480"/>
        <item x="482"/>
        <item x="479"/>
        <item x="483"/>
        <item x="484"/>
        <item x="487"/>
        <item x="490"/>
        <item x="488"/>
        <item x="489"/>
        <item x="485"/>
        <item x="470"/>
        <item x="458"/>
        <item x="495"/>
        <item x="472"/>
        <item x="494"/>
        <item x="493"/>
        <item x="496"/>
        <item x="497"/>
        <item x="498"/>
        <item x="449"/>
        <item x="451"/>
        <item x="491"/>
        <item x="452"/>
        <item x="499"/>
        <item x="500"/>
        <item x="501"/>
        <item x="481"/>
        <item x="502"/>
        <item x="503"/>
        <item x="504"/>
        <item x="505"/>
        <item x="507"/>
        <item x="506"/>
        <item x="509"/>
        <item x="526"/>
        <item x="510"/>
        <item x="511"/>
        <item x="512"/>
        <item x="513"/>
        <item x="514"/>
        <item x="515"/>
        <item x="516"/>
        <item x="517"/>
        <item x="523"/>
        <item x="521"/>
        <item x="522"/>
        <item x="518"/>
        <item x="519"/>
        <item x="524"/>
        <item x="520"/>
        <item x="508"/>
        <item x="527"/>
        <item x="530"/>
        <item x="531"/>
        <item x="525"/>
        <item x="528"/>
        <item x="534"/>
        <item x="535"/>
        <item x="532"/>
        <item x="537"/>
        <item x="538"/>
        <item x="529"/>
        <item x="540"/>
        <item x="539"/>
        <item x="541"/>
        <item x="542"/>
        <item x="543"/>
        <item x="533"/>
        <item x="544"/>
        <item x="545"/>
        <item x="546"/>
        <item x="536"/>
        <item x="492"/>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s>
    </pivotField>
    <pivotField showAll="0" defaultSubtotal="0"/>
    <pivotField showAll="0" defaultSubtotal="0"/>
    <pivotField axis="axisPage" multipleItemSelectionAllowed="1" showAll="0" defaultSubtotal="0">
      <items count="15">
        <item h="1" x="1"/>
        <item h="1" m="1" x="11"/>
        <item h="1" m="1" x="7"/>
        <item h="1" m="1" x="10"/>
        <item h="1" m="1" x="14"/>
        <item h="1" m="1" x="6"/>
        <item h="1" m="1" x="8"/>
        <item h="1" m="1" x="9"/>
        <item h="1" m="1" x="12"/>
        <item h="1" m="1" x="13"/>
        <item h="1" m="1" x="4"/>
        <item m="1" x="5"/>
        <item h="1" x="0"/>
        <item h="1" x="2"/>
        <item h="1" x="3"/>
      </items>
    </pivotField>
    <pivotField axis="axisPage" multipleItemSelectionAllowed="1" showAll="0" defaultSubtotal="0">
      <items count="10">
        <item h="1" m="1" x="5"/>
        <item h="1" m="1" x="6"/>
        <item h="1" m="1" x="7"/>
        <item h="1" m="1" x="8"/>
        <item h="1" m="1" x="9"/>
        <item h="1" m="1" x="3"/>
        <item m="1" x="4"/>
        <item h="1" x="0"/>
        <item h="1" x="1"/>
        <item h="1" x="2"/>
      </items>
    </pivotField>
  </pivotFields>
  <rowFields count="3">
    <field x="1"/>
    <field x="3"/>
    <field x="4"/>
  </rowFields>
  <colItems count="1">
    <i/>
  </colItems>
  <pageFields count="4">
    <pageField fld="17" hier="-1"/>
    <pageField fld="16" hier="-1"/>
    <pageField fld="13" hier="-1"/>
    <pageField fld="2" hier="-1"/>
  </pageFields>
  <dataFields count="1">
    <dataField name="Nombre de Détail Intervention" fld="9"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Tableau croisé dynamique1" cacheId="5" applyNumberFormats="0" applyBorderFormats="0" applyFontFormats="0" applyPatternFormats="0" applyAlignmentFormats="0" applyWidthHeightFormats="1" dataCaption="Valeurs" updatedVersion="3" minRefreshableVersion="3" itemPrintTitles="1" createdVersion="4" indent="0" outline="1" outlineData="1" multipleFieldFilters="0">
  <location ref="A4:E63" firstHeaderRow="1" firstDataRow="1" firstDataCol="5" rowPageCount="2" colPageCount="1"/>
  <pivotFields count="18">
    <pivotField axis="axisRow" numFmtId="14" outline="0" showAll="0" defaultSubtotal="0">
      <items count="957">
        <item m="1" x="914"/>
        <item m="1" x="883"/>
        <item m="1" x="806"/>
        <item m="1" x="884"/>
        <item m="1" x="807"/>
        <item m="1" x="886"/>
        <item m="1" x="809"/>
        <item m="1" x="887"/>
        <item m="1" x="889"/>
        <item m="1" x="813"/>
        <item m="1" x="891"/>
        <item m="1" x="816"/>
        <item m="1" x="824"/>
        <item m="1" x="905"/>
        <item m="1" x="910"/>
        <item m="1" x="832"/>
        <item m="1" x="915"/>
        <item m="1" x="885"/>
        <item m="1" x="808"/>
        <item m="1" x="810"/>
        <item m="1" x="811"/>
        <item m="1" x="890"/>
        <item m="1" x="814"/>
        <item m="1" x="893"/>
        <item m="1" x="818"/>
        <item m="1" x="895"/>
        <item m="1" x="821"/>
        <item m="1" x="898"/>
        <item m="1" x="825"/>
        <item m="1" x="828"/>
        <item m="1" x="906"/>
        <item m="1" x="830"/>
        <item m="1" x="916"/>
        <item m="1" x="845"/>
        <item m="1" x="888"/>
        <item m="1" x="812"/>
        <item m="1" x="815"/>
        <item m="1" x="819"/>
        <item m="1" x="896"/>
        <item m="1" x="822"/>
        <item m="1" x="899"/>
        <item m="1" x="826"/>
        <item m="1" x="902"/>
        <item m="1" x="907"/>
        <item m="1" x="911"/>
        <item m="1" x="917"/>
        <item m="1" x="841"/>
        <item m="1" x="846"/>
        <item m="1" x="892"/>
        <item m="1" x="817"/>
        <item m="1" x="894"/>
        <item m="1" x="823"/>
        <item m="1" x="829"/>
        <item m="1" x="820"/>
        <item m="1" x="900"/>
        <item m="1" x="908"/>
        <item m="1" x="912"/>
        <item m="1" x="833"/>
        <item m="1" x="918"/>
        <item m="1" x="837"/>
        <item m="1" x="921"/>
        <item m="1" x="842"/>
        <item m="1" x="847"/>
        <item m="1" x="928"/>
        <item m="1" x="851"/>
        <item m="1" x="936"/>
        <item m="1" x="939"/>
        <item m="1" x="861"/>
        <item m="1" x="941"/>
        <item m="1" x="864"/>
        <item m="1" x="897"/>
        <item m="1" x="901"/>
        <item m="1" x="827"/>
        <item m="1" x="834"/>
        <item m="1" x="919"/>
        <item m="1" x="922"/>
        <item m="1" x="843"/>
        <item m="1" x="850"/>
        <item m="1" x="929"/>
        <item m="1" x="838"/>
        <item m="1" x="924"/>
        <item m="1" x="852"/>
        <item m="1" x="933"/>
        <item m="1" x="856"/>
        <item m="1" x="858"/>
        <item m="1" x="942"/>
        <item m="1" x="944"/>
        <item m="1" x="937"/>
        <item m="1" x="848"/>
        <item m="1" x="903"/>
        <item m="1" x="909"/>
        <item m="1" x="844"/>
        <item m="1" x="930"/>
        <item m="1" x="925"/>
        <item m="1" x="835"/>
        <item m="1" x="839"/>
        <item m="1" x="853"/>
        <item m="1" x="865"/>
        <item m="1" x="868"/>
        <item m="1" x="831"/>
        <item m="1" x="923"/>
        <item m="1" x="849"/>
        <item m="1" x="934"/>
        <item m="1" x="857"/>
        <item m="1" x="938"/>
        <item m="1" x="859"/>
        <item m="1" x="869"/>
        <item m="1" x="940"/>
        <item m="1" x="862"/>
        <item m="1" x="866"/>
        <item m="1" x="945"/>
        <item m="1" x="871"/>
        <item m="1" x="947"/>
        <item m="1" x="877"/>
        <item m="1" x="953"/>
        <item m="1" x="913"/>
        <item m="1" x="950"/>
        <item m="1" x="836"/>
        <item m="1" x="920"/>
        <item m="1" x="840"/>
        <item m="1" x="926"/>
        <item m="1" x="872"/>
        <item m="1" x="878"/>
        <item m="1" x="854"/>
        <item m="1" x="863"/>
        <item m="1" x="943"/>
        <item m="1" x="867"/>
        <item m="1" x="870"/>
        <item m="1" x="946"/>
        <item m="1" x="876"/>
        <item m="1" x="951"/>
        <item m="1" x="954"/>
        <item m="1" x="949"/>
        <item m="1" x="880"/>
        <item m="1" x="955"/>
        <item m="1" x="927"/>
        <item m="1" x="931"/>
        <item m="1" x="948"/>
        <item m="1" x="935"/>
        <item m="1" x="860"/>
        <item m="1" x="873"/>
        <item m="1" x="956"/>
        <item m="1" x="881"/>
        <item m="1" x="882"/>
        <item m="1" x="932"/>
        <item m="1" x="855"/>
        <item m="1" x="874"/>
        <item m="1" x="952"/>
        <item m="1" x="879"/>
        <item x="2"/>
        <item x="4"/>
        <item x="1"/>
        <item x="3"/>
        <item x="5"/>
        <item x="6"/>
        <item x="7"/>
        <item x="9"/>
        <item x="11"/>
        <item x="12"/>
        <item x="13"/>
        <item x="10"/>
        <item x="17"/>
        <item x="14"/>
        <item x="8"/>
        <item x="22"/>
        <item x="24"/>
        <item x="25"/>
        <item x="28"/>
        <item x="15"/>
        <item x="16"/>
        <item x="18"/>
        <item x="19"/>
        <item x="21"/>
        <item x="23"/>
        <item x="26"/>
        <item x="27"/>
        <item x="29"/>
        <item x="31"/>
        <item x="36"/>
        <item x="41"/>
        <item x="32"/>
        <item x="30"/>
        <item x="33"/>
        <item x="34"/>
        <item x="42"/>
        <item x="39"/>
        <item x="44"/>
        <item x="190"/>
        <item x="46"/>
        <item x="47"/>
        <item x="48"/>
        <item x="50"/>
        <item x="53"/>
        <item x="54"/>
        <item x="55"/>
        <item x="20"/>
        <item x="35"/>
        <item x="37"/>
        <item x="38"/>
        <item x="40"/>
        <item x="43"/>
        <item x="45"/>
        <item x="52"/>
        <item x="64"/>
        <item x="51"/>
        <item x="57"/>
        <item x="59"/>
        <item x="49"/>
        <item x="61"/>
        <item x="66"/>
        <item x="62"/>
        <item x="63"/>
        <item x="65"/>
        <item x="67"/>
        <item x="69"/>
        <item x="70"/>
        <item x="71"/>
        <item x="72"/>
        <item x="73"/>
        <item x="75"/>
        <item x="78"/>
        <item x="79"/>
        <item x="74"/>
        <item x="77"/>
        <item x="58"/>
        <item x="60"/>
        <item x="68"/>
        <item x="56"/>
        <item x="84"/>
        <item x="85"/>
        <item x="87"/>
        <item x="88"/>
        <item x="90"/>
        <item x="91"/>
        <item x="92"/>
        <item x="93"/>
        <item x="89"/>
        <item x="94"/>
        <item x="95"/>
        <item x="96"/>
        <item x="97"/>
        <item x="98"/>
        <item x="99"/>
        <item x="100"/>
        <item x="101"/>
        <item x="102"/>
        <item x="103"/>
        <item x="104"/>
        <item x="105"/>
        <item x="106"/>
        <item x="107"/>
        <item x="108"/>
        <item x="109"/>
        <item x="110"/>
        <item x="111"/>
        <item m="1" x="904"/>
        <item x="80"/>
        <item x="81"/>
        <item x="82"/>
        <item x="83"/>
        <item x="86"/>
        <item x="112"/>
        <item x="113"/>
        <item x="114"/>
        <item x="115"/>
        <item x="116"/>
        <item x="117"/>
        <item x="118"/>
        <item x="119"/>
        <item x="124"/>
        <item x="120"/>
        <item x="121"/>
        <item x="122"/>
        <item x="123"/>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8"/>
        <item x="159"/>
        <item x="160"/>
        <item x="161"/>
        <item x="162"/>
        <item x="163"/>
        <item x="164"/>
        <item x="165"/>
        <item x="167"/>
        <item x="176"/>
        <item x="166"/>
        <item x="157"/>
        <item x="169"/>
        <item x="170"/>
        <item x="171"/>
        <item x="183"/>
        <item x="173"/>
        <item x="172"/>
        <item x="174"/>
        <item x="175"/>
        <item x="177"/>
        <item x="178"/>
        <item x="179"/>
        <item x="180"/>
        <item x="168"/>
        <item x="181"/>
        <item x="189"/>
        <item x="182"/>
        <item x="184"/>
        <item x="185"/>
        <item x="187"/>
        <item x="194"/>
        <item x="186"/>
        <item x="188"/>
        <item x="195"/>
        <item x="193"/>
        <item x="192"/>
        <item x="196"/>
        <item x="198"/>
        <item x="199"/>
        <item x="200"/>
        <item x="201"/>
        <item x="202"/>
        <item x="203"/>
        <item x="204"/>
        <item x="197"/>
        <item x="208"/>
        <item x="205"/>
        <item x="206"/>
        <item x="191"/>
        <item x="207"/>
        <item x="209"/>
        <item x="212"/>
        <item x="211"/>
        <item x="213"/>
        <item x="214"/>
        <item x="215"/>
        <item x="237"/>
        <item x="238"/>
        <item x="240"/>
        <item x="216"/>
        <item x="210"/>
        <item x="217"/>
        <item x="219"/>
        <item x="218"/>
        <item x="220"/>
        <item x="224"/>
        <item x="227"/>
        <item x="228"/>
        <item x="229"/>
        <item x="222"/>
        <item x="230"/>
        <item x="231"/>
        <item x="232"/>
        <item x="235"/>
        <item x="234"/>
        <item x="236"/>
        <item x="239"/>
        <item x="241"/>
        <item x="242"/>
        <item x="243"/>
        <item x="244"/>
        <item x="245"/>
        <item x="246"/>
        <item x="247"/>
        <item x="248"/>
        <item x="250"/>
        <item x="249"/>
        <item x="251"/>
        <item x="267"/>
        <item x="221"/>
        <item x="223"/>
        <item x="226"/>
        <item x="233"/>
        <item x="225"/>
        <item x="254"/>
        <item x="255"/>
        <item x="253"/>
        <item x="258"/>
        <item x="257"/>
        <item x="256"/>
        <item x="259"/>
        <item x="260"/>
        <item x="261"/>
        <item x="262"/>
        <item x="263"/>
        <item x="264"/>
        <item x="252"/>
        <item x="265"/>
        <item x="266"/>
        <item x="269"/>
        <item x="270"/>
        <item x="271"/>
        <item x="268"/>
        <item x="273"/>
        <item x="274"/>
        <item x="275"/>
        <item x="276"/>
        <item x="277"/>
        <item x="278"/>
        <item x="279"/>
        <item x="280"/>
        <item x="281"/>
        <item x="272"/>
        <item x="291"/>
        <item x="289"/>
        <item x="282"/>
        <item x="283"/>
        <item x="284"/>
        <item x="285"/>
        <item x="286"/>
        <item x="287"/>
        <item x="288"/>
        <item x="290"/>
        <item x="293"/>
        <item x="294"/>
        <item x="295"/>
        <item x="296"/>
        <item x="297"/>
        <item x="298"/>
        <item x="292"/>
        <item x="299"/>
        <item x="300"/>
        <item x="301"/>
        <item x="303"/>
        <item x="304"/>
        <item x="305"/>
        <item x="306"/>
        <item x="307"/>
        <item x="308"/>
        <item x="302"/>
        <item x="310"/>
        <item x="309"/>
        <item x="314"/>
        <item x="315"/>
        <item x="312"/>
        <item x="313"/>
        <item x="316"/>
        <item x="311"/>
        <item x="319"/>
        <item x="318"/>
        <item x="317"/>
        <item x="322"/>
        <item x="321"/>
        <item x="320"/>
        <item x="324"/>
        <item x="325"/>
        <item x="327"/>
        <item x="328"/>
        <item x="323"/>
        <item x="329"/>
        <item x="331"/>
        <item x="326"/>
        <item x="330"/>
        <item x="332"/>
        <item x="333"/>
        <item x="337"/>
        <item x="338"/>
        <item x="334"/>
        <item x="335"/>
        <item x="339"/>
        <item x="340"/>
        <item x="341"/>
        <item x="344"/>
        <item x="345"/>
        <item x="346"/>
        <item x="347"/>
        <item x="343"/>
        <item x="348"/>
        <item x="336"/>
        <item x="342"/>
        <item x="349"/>
        <item x="76"/>
        <item x="350"/>
        <item x="351"/>
        <item x="352"/>
        <item x="353"/>
        <item x="354"/>
        <item x="355"/>
        <item x="356"/>
        <item x="357"/>
        <item x="358"/>
        <item x="359"/>
        <item x="360"/>
        <item x="361"/>
        <item x="362"/>
        <item x="363"/>
        <item x="364"/>
        <item x="365"/>
        <item x="366"/>
        <item x="367"/>
        <item x="0"/>
        <item x="368"/>
        <item x="369"/>
        <item x="370"/>
        <item x="371"/>
        <item x="383"/>
        <item x="377"/>
        <item x="374"/>
        <item x="372"/>
        <item x="373"/>
        <item x="375"/>
        <item x="376"/>
        <item x="378"/>
        <item x="379"/>
        <item x="385"/>
        <item x="381"/>
        <item x="382"/>
        <item x="380"/>
        <item x="384"/>
        <item x="386"/>
        <item x="387"/>
        <item x="388"/>
        <item x="389"/>
        <item x="390"/>
        <item x="391"/>
        <item x="392"/>
        <item x="393"/>
        <item x="394"/>
        <item x="397"/>
        <item x="398"/>
        <item x="399"/>
        <item x="395"/>
        <item x="401"/>
        <item x="400"/>
        <item x="396"/>
        <item x="408"/>
        <item x="403"/>
        <item x="404"/>
        <item x="405"/>
        <item x="406"/>
        <item x="407"/>
        <item x="409"/>
        <item x="402"/>
        <item x="411"/>
        <item x="412"/>
        <item x="413"/>
        <item x="414"/>
        <item x="415"/>
        <item x="417"/>
        <item x="410"/>
        <item x="419"/>
        <item x="416"/>
        <item x="418"/>
        <item x="420"/>
        <item x="421"/>
        <item x="422"/>
        <item x="423"/>
        <item x="424"/>
        <item x="425"/>
        <item x="426"/>
        <item x="427"/>
        <item x="428"/>
        <item x="430"/>
        <item x="429"/>
        <item x="431"/>
        <item x="432"/>
        <item x="433"/>
        <item x="435"/>
        <item m="1" x="875"/>
        <item x="434"/>
        <item x="438"/>
        <item x="446"/>
        <item x="437"/>
        <item x="436"/>
        <item x="439"/>
        <item x="447"/>
        <item x="441"/>
        <item x="440"/>
        <item x="448"/>
        <item x="442"/>
        <item x="444"/>
        <item x="449"/>
        <item x="445"/>
        <item x="454"/>
        <item x="443"/>
        <item x="452"/>
        <item x="457"/>
        <item x="456"/>
        <item x="462"/>
        <item x="458"/>
        <item x="459"/>
        <item x="453"/>
        <item x="461"/>
        <item x="455"/>
        <item x="450"/>
        <item x="451"/>
        <item x="463"/>
        <item x="460"/>
        <item x="466"/>
        <item x="467"/>
        <item x="465"/>
        <item x="468"/>
        <item x="469"/>
        <item x="470"/>
        <item x="475"/>
        <item x="472"/>
        <item x="477"/>
        <item x="476"/>
        <item x="478"/>
        <item x="479"/>
        <item x="481"/>
        <item x="482"/>
        <item x="483"/>
        <item x="495"/>
        <item x="486"/>
        <item x="484"/>
        <item x="485"/>
        <item x="487"/>
        <item x="488"/>
        <item x="503"/>
        <item x="489"/>
        <item x="490"/>
        <item x="491"/>
        <item x="492"/>
        <item x="493"/>
        <item x="494"/>
        <item x="496"/>
        <item x="497"/>
        <item x="498"/>
        <item x="499"/>
        <item x="500"/>
        <item x="502"/>
        <item x="501"/>
        <item x="504"/>
        <item x="507"/>
        <item x="505"/>
        <item x="506"/>
        <item x="510"/>
        <item x="516"/>
        <item x="508"/>
        <item x="511"/>
        <item x="513"/>
        <item x="514"/>
        <item x="515"/>
        <item x="519"/>
        <item x="471"/>
        <item x="473"/>
        <item x="474"/>
        <item x="517"/>
        <item x="480"/>
        <item x="518"/>
        <item x="520"/>
        <item x="521"/>
        <item x="522"/>
        <item x="523"/>
        <item x="525"/>
        <item x="524"/>
        <item x="527"/>
        <item x="541"/>
        <item x="528"/>
        <item x="529"/>
        <item x="530"/>
        <item x="531"/>
        <item x="537"/>
        <item x="535"/>
        <item x="532"/>
        <item x="536"/>
        <item x="533"/>
        <item x="534"/>
        <item x="538"/>
        <item x="539"/>
        <item x="542"/>
        <item x="543"/>
        <item x="546"/>
        <item x="548"/>
        <item x="547"/>
        <item x="544"/>
        <item x="551"/>
        <item x="553"/>
        <item x="554"/>
        <item x="549"/>
        <item x="552"/>
        <item x="556"/>
        <item x="557"/>
        <item x="545"/>
        <item x="560"/>
        <item x="559"/>
        <item x="558"/>
        <item x="562"/>
        <item x="561"/>
        <item x="563"/>
        <item x="564"/>
        <item x="550"/>
        <item x="565"/>
        <item x="566"/>
        <item x="567"/>
        <item x="555"/>
        <item x="526"/>
        <item x="540"/>
        <item x="464"/>
        <item x="509"/>
        <item x="512"/>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s>
    </pivotField>
    <pivotField axis="axisRow" outline="0" showAll="0" defaultSubtotal="0">
      <items count="47">
        <item x="31"/>
        <item x="1"/>
        <item x="20"/>
        <item x="25"/>
        <item x="5"/>
        <item x="23"/>
        <item x="13"/>
        <item x="18"/>
        <item x="8"/>
        <item x="10"/>
        <item x="19"/>
        <item x="14"/>
        <item x="0"/>
        <item x="38"/>
        <item x="35"/>
        <item x="34"/>
        <item x="22"/>
        <item x="28"/>
        <item x="21"/>
        <item x="15"/>
        <item x="29"/>
        <item x="26"/>
        <item x="27"/>
        <item x="24"/>
        <item x="2"/>
        <item x="7"/>
        <item x="16"/>
        <item x="12"/>
        <item x="11"/>
        <item x="37"/>
        <item x="36"/>
        <item x="17"/>
        <item x="33"/>
        <item x="32"/>
        <item x="9"/>
        <item x="4"/>
        <item x="3"/>
        <item x="6"/>
        <item x="30"/>
        <item x="39"/>
        <item x="40"/>
        <item x="41"/>
        <item x="42"/>
        <item x="43"/>
        <item x="44"/>
        <item x="45"/>
        <item x="46"/>
      </items>
    </pivotField>
    <pivotField showAll="0" defaultSubtotal="0"/>
    <pivotField axis="axisRow" outline="0" showAll="0" defaultSubtotal="0">
      <items count="30">
        <item x="24"/>
        <item x="23"/>
        <item x="0"/>
        <item x="9"/>
        <item x="12"/>
        <item x="17"/>
        <item x="16"/>
        <item x="10"/>
        <item x="19"/>
        <item x="7"/>
        <item x="11"/>
        <item x="4"/>
        <item x="1"/>
        <item x="25"/>
        <item x="28"/>
        <item x="18"/>
        <item x="13"/>
        <item x="2"/>
        <item x="21"/>
        <item x="6"/>
        <item x="15"/>
        <item x="14"/>
        <item x="5"/>
        <item x="8"/>
        <item x="3"/>
        <item x="20"/>
        <item x="26"/>
        <item x="22"/>
        <item x="27"/>
        <item x="29"/>
      </items>
    </pivotField>
    <pivotField showAll="0" defaultSubtotal="0"/>
    <pivotField showAll="0" defaultSubtotal="0"/>
    <pivotField showAll="0" defaultSubtotal="0"/>
    <pivotField showAll="0"/>
    <pivotField outline="0" showAll="0" defaultSubtotal="0"/>
    <pivotField axis="axisRow" outline="0" showAll="0" defaultSubtotal="0">
      <items count="1166">
        <item x="26"/>
        <item x="50"/>
        <item x="3"/>
        <item x="5"/>
        <item x="6"/>
        <item x="7"/>
        <item x="8"/>
        <item x="1"/>
        <item x="4"/>
        <item x="9"/>
        <item x="10"/>
        <item x="11"/>
        <item x="13"/>
        <item x="14"/>
        <item x="17"/>
        <item x="18"/>
        <item x="19"/>
        <item x="20"/>
        <item x="2"/>
        <item x="16"/>
        <item x="21"/>
        <item x="27"/>
        <item x="23"/>
        <item x="12"/>
        <item x="37"/>
        <item x="40"/>
        <item x="42"/>
        <item x="24"/>
        <item x="25"/>
        <item x="15"/>
        <item x="22"/>
        <item x="29"/>
        <item x="30"/>
        <item x="31"/>
        <item x="32"/>
        <item x="38"/>
        <item x="36"/>
        <item x="43"/>
        <item x="33"/>
        <item x="41"/>
        <item x="44"/>
        <item x="45"/>
        <item x="48"/>
        <item x="52"/>
        <item x="53"/>
        <item x="46"/>
        <item x="55"/>
        <item x="59"/>
        <item x="39"/>
        <item x="61"/>
        <item x="65"/>
        <item x="66"/>
        <item x="167"/>
        <item x="71"/>
        <item x="81"/>
        <item x="77"/>
        <item x="35"/>
        <item x="28"/>
        <item x="49"/>
        <item x="47"/>
        <item x="62"/>
        <item x="69"/>
        <item x="72"/>
        <item x="80"/>
        <item x="51"/>
        <item x="54"/>
        <item x="56"/>
        <item x="57"/>
        <item x="34"/>
        <item x="60"/>
        <item x="63"/>
        <item x="64"/>
        <item x="68"/>
        <item x="67"/>
        <item x="70"/>
        <item x="73"/>
        <item x="75"/>
        <item x="78"/>
        <item x="79"/>
        <item x="97"/>
        <item x="76"/>
        <item x="84"/>
        <item x="82"/>
        <item x="86"/>
        <item x="74"/>
        <item x="90"/>
        <item x="99"/>
        <item x="91"/>
        <item x="93"/>
        <item x="94"/>
        <item x="95"/>
        <item x="98"/>
        <item x="101"/>
        <item x="102"/>
        <item x="104"/>
        <item x="106"/>
        <item x="108"/>
        <item x="110"/>
        <item x="109"/>
        <item x="85"/>
        <item x="87"/>
        <item x="89"/>
        <item x="100"/>
        <item x="105"/>
        <item x="83"/>
        <item x="92"/>
        <item x="103"/>
        <item x="107"/>
        <item x="96"/>
        <item x="111"/>
        <item x="119"/>
        <item x="121"/>
        <item x="122"/>
        <item x="124"/>
        <item x="126"/>
        <item x="127"/>
        <item x="128"/>
        <item x="129"/>
        <item x="130"/>
        <item x="131"/>
        <item x="125"/>
        <item x="123"/>
        <item x="132"/>
        <item x="133"/>
        <item x="134"/>
        <item x="135"/>
        <item x="136"/>
        <item x="137"/>
        <item x="138"/>
        <item x="140"/>
        <item x="141"/>
        <item x="139"/>
        <item x="142"/>
        <item x="144"/>
        <item x="145"/>
        <item x="146"/>
        <item x="147"/>
        <item x="148"/>
        <item x="149"/>
        <item x="150"/>
        <item x="151"/>
        <item x="152"/>
        <item x="153"/>
        <item x="155"/>
        <item x="467"/>
        <item x="88"/>
        <item x="112"/>
        <item x="113"/>
        <item x="114"/>
        <item x="115"/>
        <item x="116"/>
        <item x="117"/>
        <item x="118"/>
        <item x="120"/>
        <item x="143"/>
        <item x="154"/>
        <item x="156"/>
        <item x="157"/>
        <item x="158"/>
        <item x="159"/>
        <item x="160"/>
        <item x="161"/>
        <item x="162"/>
        <item x="163"/>
        <item x="164"/>
        <item x="165"/>
        <item x="166"/>
        <item x="168"/>
        <item x="169"/>
        <item x="170"/>
        <item x="171"/>
        <item x="172"/>
        <item x="173"/>
        <item x="174"/>
        <item x="175"/>
        <item x="176"/>
        <item x="177"/>
        <item x="178"/>
        <item x="179"/>
        <item x="180"/>
        <item x="182"/>
        <item x="181"/>
        <item x="183"/>
        <item x="184"/>
        <item x="185"/>
        <item x="186"/>
        <item x="187"/>
        <item x="188"/>
        <item x="189"/>
        <item x="190"/>
        <item x="191"/>
        <item x="192"/>
        <item x="193"/>
        <item x="194"/>
        <item x="195"/>
        <item x="196"/>
        <item x="197"/>
        <item x="198"/>
        <item x="199"/>
        <item x="200"/>
        <item x="201"/>
        <item x="202"/>
        <item x="204"/>
        <item x="205"/>
        <item x="206"/>
        <item x="207"/>
        <item x="208"/>
        <item x="209"/>
        <item x="210"/>
        <item x="211"/>
        <item x="212"/>
        <item x="213"/>
        <item x="214"/>
        <item x="216"/>
        <item x="217"/>
        <item x="218"/>
        <item x="219"/>
        <item x="220"/>
        <item x="221"/>
        <item x="222"/>
        <item x="223"/>
        <item x="225"/>
        <item x="226"/>
        <item x="227"/>
        <item x="228"/>
        <item x="229"/>
        <item x="230"/>
        <item x="231"/>
        <item x="233"/>
        <item x="224"/>
        <item x="203"/>
        <item x="242"/>
        <item x="232"/>
        <item x="215"/>
        <item x="235"/>
        <item x="236"/>
        <item x="237"/>
        <item x="238"/>
        <item x="239"/>
        <item x="240"/>
        <item x="241"/>
        <item x="244"/>
        <item x="243"/>
        <item x="245"/>
        <item x="246"/>
        <item x="247"/>
        <item x="248"/>
        <item x="234"/>
        <item x="249"/>
        <item x="259"/>
        <item x="258"/>
        <item x="250"/>
        <item x="252"/>
        <item x="251"/>
        <item x="253"/>
        <item x="255"/>
        <item x="263"/>
        <item x="254"/>
        <item x="256"/>
        <item x="257"/>
        <item x="265"/>
        <item x="262"/>
        <item x="261"/>
        <item x="266"/>
        <item x="264"/>
        <item x="267"/>
        <item x="268"/>
        <item x="272"/>
        <item x="273"/>
        <item x="269"/>
        <item x="274"/>
        <item x="275"/>
        <item x="270"/>
        <item x="271"/>
        <item x="284"/>
        <item x="276"/>
        <item x="277"/>
        <item x="278"/>
        <item x="279"/>
        <item x="280"/>
        <item x="281"/>
        <item x="260"/>
        <item x="282"/>
        <item x="283"/>
        <item x="285"/>
        <item x="286"/>
        <item x="287"/>
        <item x="290"/>
        <item x="289"/>
        <item x="291"/>
        <item x="292"/>
        <item x="293"/>
        <item x="294"/>
        <item x="327"/>
        <item x="328"/>
        <item x="333"/>
        <item x="295"/>
        <item x="288"/>
        <item x="296"/>
        <item x="298"/>
        <item x="299"/>
        <item x="306"/>
        <item x="329"/>
        <item x="309"/>
        <item x="311"/>
        <item x="312"/>
        <item x="302"/>
        <item x="313"/>
        <item x="315"/>
        <item x="316"/>
        <item x="317"/>
        <item x="318"/>
        <item x="319"/>
        <item x="324"/>
        <item x="323"/>
        <item x="325"/>
        <item x="326"/>
        <item x="310"/>
        <item x="320"/>
        <item x="321"/>
        <item x="330"/>
        <item x="331"/>
        <item x="332"/>
        <item x="314"/>
        <item x="334"/>
        <item x="335"/>
        <item x="336"/>
        <item x="337"/>
        <item x="338"/>
        <item x="340"/>
        <item x="341"/>
        <item x="342"/>
        <item x="339"/>
        <item x="343"/>
        <item x="344"/>
        <item x="345"/>
        <item x="346"/>
        <item x="349"/>
        <item x="347"/>
        <item x="350"/>
        <item x="352"/>
        <item x="368"/>
        <item x="369"/>
        <item x="351"/>
        <item x="300"/>
        <item x="301"/>
        <item x="303"/>
        <item x="304"/>
        <item x="308"/>
        <item x="322"/>
        <item x="305"/>
        <item x="307"/>
        <item x="356"/>
        <item x="357"/>
        <item x="358"/>
        <item x="354"/>
        <item x="355"/>
        <item x="361"/>
        <item x="359"/>
        <item x="362"/>
        <item x="363"/>
        <item x="364"/>
        <item x="365"/>
        <item x="366"/>
        <item x="353"/>
        <item x="367"/>
        <item x="370"/>
        <item x="373"/>
        <item x="374"/>
        <item x="375"/>
        <item x="372"/>
        <item x="371"/>
        <item x="377"/>
        <item x="378"/>
        <item x="379"/>
        <item x="380"/>
        <item x="381"/>
        <item x="383"/>
        <item x="348"/>
        <item x="376"/>
        <item x="396"/>
        <item x="384"/>
        <item x="385"/>
        <item x="387"/>
        <item x="388"/>
        <item x="389"/>
        <item x="390"/>
        <item x="391"/>
        <item x="382"/>
        <item x="392"/>
        <item x="393"/>
        <item x="386"/>
        <item x="395"/>
        <item x="398"/>
        <item x="399"/>
        <item x="401"/>
        <item x="402"/>
        <item x="403"/>
        <item x="404"/>
        <item x="397"/>
        <item x="400"/>
        <item x="405"/>
        <item x="406"/>
        <item x="407"/>
        <item x="410"/>
        <item x="411"/>
        <item x="413"/>
        <item x="414"/>
        <item x="415"/>
        <item x="416"/>
        <item x="417"/>
        <item x="418"/>
        <item x="419"/>
        <item x="420"/>
        <item x="408"/>
        <item x="409"/>
        <item x="423"/>
        <item x="58"/>
        <item x="412"/>
        <item x="422"/>
        <item x="432"/>
        <item x="421"/>
        <item x="433"/>
        <item x="434"/>
        <item x="426"/>
        <item x="429"/>
        <item x="430"/>
        <item x="436"/>
        <item x="425"/>
        <item x="427"/>
        <item x="431"/>
        <item x="435"/>
        <item x="424"/>
        <item x="444"/>
        <item x="439"/>
        <item x="438"/>
        <item x="440"/>
        <item x="437"/>
        <item x="441"/>
        <item x="442"/>
        <item x="428"/>
        <item x="443"/>
        <item x="446"/>
        <item x="445"/>
        <item x="447"/>
        <item x="450"/>
        <item x="451"/>
        <item x="453"/>
        <item x="454"/>
        <item x="455"/>
        <item x="448"/>
        <item x="456"/>
        <item x="457"/>
        <item x="458"/>
        <item x="462"/>
        <item x="452"/>
        <item x="460"/>
        <item x="461"/>
        <item x="468"/>
        <item x="464"/>
        <item x="463"/>
        <item x="465"/>
        <item x="469"/>
        <item x="470"/>
        <item x="449"/>
        <item x="459"/>
        <item x="472"/>
        <item x="473"/>
        <item x="474"/>
        <item x="479"/>
        <item x="482"/>
        <item x="484"/>
        <item x="483"/>
        <item x="485"/>
        <item x="486"/>
        <item x="487"/>
        <item x="466"/>
        <item x="481"/>
        <item x="477"/>
        <item x="475"/>
        <item x="488"/>
        <item x="489"/>
        <item x="476"/>
        <item x="478"/>
        <item x="480"/>
        <item x="490"/>
        <item x="491"/>
        <item x="492"/>
        <item x="493"/>
        <item x="494"/>
        <item x="495"/>
        <item x="496"/>
        <item x="497"/>
        <item x="498"/>
        <item x="499"/>
        <item x="500"/>
        <item x="501"/>
        <item x="502"/>
        <item x="503"/>
        <item x="504"/>
        <item x="505"/>
        <item x="506"/>
        <item x="507"/>
        <item x="508"/>
        <item x="360"/>
        <item x="394"/>
        <item x="471"/>
        <item x="510"/>
        <item x="512"/>
        <item x="513"/>
        <item x="514"/>
        <item x="515"/>
        <item x="516"/>
        <item x="518"/>
        <item x="0"/>
        <item x="519"/>
        <item x="520"/>
        <item x="521"/>
        <item x="517"/>
        <item x="511"/>
        <item x="509"/>
        <item x="522"/>
        <item x="523"/>
        <item x="524"/>
        <item x="525"/>
        <item x="527"/>
        <item x="528"/>
        <item x="529"/>
        <item x="542"/>
        <item x="530"/>
        <item x="531"/>
        <item x="533"/>
        <item x="536"/>
        <item x="535"/>
        <item x="532"/>
        <item x="537"/>
        <item x="534"/>
        <item x="544"/>
        <item x="539"/>
        <item x="540"/>
        <item x="526"/>
        <item x="541"/>
        <item x="538"/>
        <item x="543"/>
        <item x="545"/>
        <item x="546"/>
        <item x="547"/>
        <item x="549"/>
        <item x="548"/>
        <item x="550"/>
        <item x="551"/>
        <item x="552"/>
        <item x="554"/>
        <item x="555"/>
        <item x="556"/>
        <item x="557"/>
        <item x="560"/>
        <item x="561"/>
        <item x="553"/>
        <item x="558"/>
        <item x="564"/>
        <item x="565"/>
        <item x="559"/>
        <item x="563"/>
        <item x="579"/>
        <item x="567"/>
        <item x="568"/>
        <item x="569"/>
        <item x="571"/>
        <item x="572"/>
        <item x="570"/>
        <item x="574"/>
        <item x="575"/>
        <item x="573"/>
        <item x="577"/>
        <item x="580"/>
        <item x="581"/>
        <item x="578"/>
        <item x="582"/>
        <item x="584"/>
        <item x="585"/>
        <item x="576"/>
        <item x="586"/>
        <item x="587"/>
        <item x="297"/>
        <item x="562"/>
        <item x="566"/>
        <item x="588"/>
        <item x="590"/>
        <item x="583"/>
        <item x="592"/>
        <item x="589"/>
        <item x="591"/>
        <item x="593"/>
        <item x="594"/>
        <item x="595"/>
        <item x="596"/>
        <item x="597"/>
        <item x="598"/>
        <item x="599"/>
        <item x="600"/>
        <item x="601"/>
        <item x="602"/>
        <item x="603"/>
        <item x="604"/>
        <item x="605"/>
        <item x="608"/>
        <item x="609"/>
        <item x="606"/>
        <item x="610"/>
        <item x="611"/>
        <item x="612"/>
        <item x="613"/>
        <item x="614"/>
        <item x="615"/>
        <item x="616"/>
        <item x="607"/>
        <item x="617"/>
        <item x="622"/>
        <item x="624"/>
        <item x="618"/>
        <item x="623"/>
        <item x="619"/>
        <item x="620"/>
        <item x="629"/>
        <item x="640"/>
        <item x="627"/>
        <item x="625"/>
        <item x="621"/>
        <item x="626"/>
        <item x="628"/>
        <item x="630"/>
        <item x="631"/>
        <item x="641"/>
        <item x="634"/>
        <item x="633"/>
        <item x="643"/>
        <item x="635"/>
        <item x="636"/>
        <item x="632"/>
        <item x="642"/>
        <item x="644"/>
        <item x="638"/>
        <item x="639"/>
        <item x="645"/>
        <item x="653"/>
        <item x="646"/>
        <item x="637"/>
        <item x="650"/>
        <item x="651"/>
        <item x="660"/>
        <item x="654"/>
        <item x="656"/>
        <item x="647"/>
        <item x="657"/>
        <item x="665"/>
        <item x="658"/>
        <item x="661"/>
        <item x="648"/>
        <item x="659"/>
        <item x="652"/>
        <item x="662"/>
        <item x="664"/>
        <item x="655"/>
        <item x="649"/>
        <item x="667"/>
        <item x="666"/>
        <item x="663"/>
        <item x="671"/>
        <item x="672"/>
        <item x="673"/>
        <item x="668"/>
        <item x="669"/>
        <item x="674"/>
        <item x="675"/>
        <item x="676"/>
        <item x="677"/>
        <item x="678"/>
        <item x="679"/>
        <item x="670"/>
        <item x="686"/>
        <item x="687"/>
        <item x="681"/>
        <item x="688"/>
        <item x="689"/>
        <item x="690"/>
        <item x="692"/>
        <item x="693"/>
        <item x="694"/>
        <item x="695"/>
        <item x="713"/>
        <item x="699"/>
        <item x="696"/>
        <item x="697"/>
        <item x="698"/>
        <item x="701"/>
        <item x="702"/>
        <item x="725"/>
        <item x="700"/>
        <item x="705"/>
        <item x="707"/>
        <item x="708"/>
        <item x="709"/>
        <item x="710"/>
        <item x="711"/>
        <item x="712"/>
        <item x="715"/>
        <item x="716"/>
        <item x="718"/>
        <item x="714"/>
        <item x="719"/>
        <item x="721"/>
        <item x="722"/>
        <item x="726"/>
        <item x="727"/>
        <item x="723"/>
        <item x="724"/>
        <item x="720"/>
        <item x="728"/>
        <item x="733"/>
        <item x="729"/>
        <item x="731"/>
        <item x="736"/>
        <item x="737"/>
        <item x="743"/>
        <item x="706"/>
        <item x="734"/>
        <item x="732"/>
        <item x="739"/>
        <item x="741"/>
        <item x="742"/>
        <item x="750"/>
        <item x="738"/>
        <item x="680"/>
        <item x="682"/>
        <item x="730"/>
        <item x="683"/>
        <item x="684"/>
        <item x="685"/>
        <item x="744"/>
        <item x="745"/>
        <item x="717"/>
        <item x="691"/>
        <item x="746"/>
        <item x="747"/>
        <item x="748"/>
        <item x="749"/>
        <item x="735"/>
        <item x="751"/>
        <item x="752"/>
        <item x="753"/>
        <item x="754"/>
        <item x="755"/>
        <item x="756"/>
        <item x="757"/>
        <item x="758"/>
        <item x="759"/>
        <item x="760"/>
        <item x="761"/>
        <item x="762"/>
        <item x="782"/>
        <item x="763"/>
        <item x="764"/>
        <item x="765"/>
        <item x="766"/>
        <item x="767"/>
        <item x="768"/>
        <item x="769"/>
        <item x="770"/>
        <item x="771"/>
        <item x="779"/>
        <item x="776"/>
        <item x="772"/>
        <item x="777"/>
        <item x="773"/>
        <item x="774"/>
        <item x="780"/>
        <item x="778"/>
        <item x="775"/>
        <item x="781"/>
        <item x="783"/>
        <item x="784"/>
        <item x="785"/>
        <item x="788"/>
        <item x="790"/>
        <item x="789"/>
        <item x="786"/>
        <item x="794"/>
        <item x="796"/>
        <item x="797"/>
        <item x="798"/>
        <item x="791"/>
        <item x="795"/>
        <item x="792"/>
        <item x="800"/>
        <item x="801"/>
        <item x="787"/>
        <item x="804"/>
        <item x="803"/>
        <item x="802"/>
        <item x="805"/>
        <item x="806"/>
        <item x="807"/>
        <item x="793"/>
        <item x="808"/>
        <item x="809"/>
        <item x="810"/>
        <item x="811"/>
        <item x="812"/>
        <item x="813"/>
        <item x="799"/>
        <item m="1" x="1165"/>
        <item x="703"/>
        <item x="704"/>
        <item x="740"/>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s>
    </pivotField>
    <pivotField showAll="0" defaultSubtotal="0"/>
    <pivotField showAll="0" defaultSubtotal="0"/>
    <pivotField showAll="0" defaultSubtotal="0"/>
    <pivotField axis="axisPage" multipleItemSelectionAllowed="1" showAll="0" defaultSubtotal="0">
      <items count="802">
        <item h="1" x="1"/>
        <item h="1" x="2"/>
        <item h="1" x="3"/>
        <item h="1" x="4"/>
        <item h="1" x="5"/>
        <item h="1" x="6"/>
        <item h="1" x="7"/>
        <item h="1" x="8"/>
        <item h="1" x="9"/>
        <item h="1" x="10"/>
        <item h="1" x="11"/>
        <item h="1" x="12"/>
        <item h="1" x="13"/>
        <item h="1" x="14"/>
        <item h="1" x="15"/>
        <item h="1" x="16"/>
        <item h="1" x="17"/>
        <item h="1" x="18"/>
        <item h="1" x="19"/>
        <item h="1" x="20"/>
        <item h="1" x="21"/>
        <item h="1" x="22"/>
        <item h="1" x="24"/>
        <item h="1" x="25"/>
        <item h="1" x="26"/>
        <item h="1" x="27"/>
        <item h="1" x="28"/>
        <item h="1" x="29"/>
        <item h="1" x="30"/>
        <item h="1" x="31"/>
        <item h="1" x="32"/>
        <item h="1" x="33"/>
        <item h="1" x="35"/>
        <item h="1" x="36"/>
        <item h="1" x="37"/>
        <item h="1" x="38"/>
        <item h="1" x="39"/>
        <item h="1" x="40"/>
        <item h="1" m="1" x="799"/>
        <item h="1" x="42"/>
        <item h="1" x="43"/>
        <item h="1" x="23"/>
        <item h="1" x="44"/>
        <item h="1" x="45"/>
        <item h="1" x="41"/>
        <item h="1" x="46"/>
        <item h="1" x="47"/>
        <item h="1" x="49"/>
        <item h="1" x="51"/>
        <item h="1" x="50"/>
        <item h="1" x="53"/>
        <item h="1" x="54"/>
        <item h="1" x="48"/>
        <item h="1" x="56"/>
        <item h="1" x="58"/>
        <item h="1" x="55"/>
        <item h="1" x="59"/>
        <item h="1" x="60"/>
        <item h="1" x="61"/>
        <item h="1" x="52"/>
        <item h="1" x="63"/>
        <item h="1" x="64"/>
        <item h="1" x="67"/>
        <item h="1" x="65"/>
        <item h="1" x="69"/>
        <item h="1" x="68"/>
        <item h="1" x="70"/>
        <item h="1" x="71"/>
        <item h="1" x="73"/>
        <item h="1" x="74"/>
        <item h="1" x="75"/>
        <item h="1" x="76"/>
        <item h="1" x="62"/>
        <item h="1" x="77"/>
        <item h="1" x="72"/>
        <item h="1" x="34"/>
        <item h="1" x="80"/>
        <item h="1" x="66"/>
        <item h="1" x="85"/>
        <item h="1" x="79"/>
        <item h="1" x="87"/>
        <item h="1" x="88"/>
        <item h="1" x="90"/>
        <item h="1" x="91"/>
        <item h="1" x="89"/>
        <item h="1" x="92"/>
        <item h="1" x="93"/>
        <item h="1" x="94"/>
        <item h="1" x="95"/>
        <item h="1" x="96"/>
        <item h="1" x="98"/>
        <item h="1" x="97"/>
        <item h="1" x="99"/>
        <item h="1" x="100"/>
        <item h="1" x="101"/>
        <item h="1" x="102"/>
        <item h="1" x="103"/>
        <item h="1" x="104"/>
        <item h="1" x="105"/>
        <item h="1" x="106"/>
        <item h="1" x="107"/>
        <item h="1" x="108"/>
        <item h="1" x="109"/>
        <item h="1" x="110"/>
        <item h="1" x="190"/>
        <item x="57"/>
        <item h="1" x="111"/>
        <item h="1" x="81"/>
        <item h="1" x="82"/>
        <item h="1" x="83"/>
        <item h="1" x="84"/>
        <item h="1" x="86"/>
        <item h="1" x="112"/>
        <item h="1" x="113"/>
        <item h="1" x="114"/>
        <item h="1" x="115"/>
        <item h="1" x="116"/>
        <item h="1" x="117"/>
        <item h="1" x="118"/>
        <item h="1" x="122"/>
        <item h="1" x="119"/>
        <item h="1" x="120"/>
        <item h="1" x="121"/>
        <item h="1" x="123"/>
        <item h="1" x="124"/>
        <item h="1" x="125"/>
        <item h="1" x="126"/>
        <item h="1" x="127"/>
        <item h="1" x="128"/>
        <item h="1" x="129"/>
        <item h="1" x="130"/>
        <item h="1" x="131"/>
        <item h="1" x="133"/>
        <item h="1" x="132"/>
        <item h="1" x="134"/>
        <item h="1" x="135"/>
        <item h="1" x="136"/>
        <item h="1" x="137"/>
        <item h="1" x="138"/>
        <item h="1" x="139"/>
        <item h="1" x="140"/>
        <item h="1" x="141"/>
        <item h="1" x="142"/>
        <item h="1" x="143"/>
        <item h="1" x="144"/>
        <item h="1" x="145"/>
        <item h="1" x="146"/>
        <item h="1" x="147"/>
        <item h="1" x="149"/>
        <item h="1" x="150"/>
        <item h="1" x="151"/>
        <item h="1" x="152"/>
        <item h="1" x="153"/>
        <item h="1" x="154"/>
        <item h="1" x="155"/>
        <item h="1" x="157"/>
        <item h="1" x="158"/>
        <item h="1" x="159"/>
        <item h="1" x="160"/>
        <item h="1" x="161"/>
        <item h="1" x="162"/>
        <item h="1" x="163"/>
        <item h="1" x="165"/>
        <item h="1" x="183"/>
        <item h="1" x="167"/>
        <item h="1" x="168"/>
        <item h="1" x="169"/>
        <item h="1" x="164"/>
        <item h="1" x="148"/>
        <item h="1" x="176"/>
        <item h="1" x="170"/>
        <item h="1" x="156"/>
        <item h="1" x="171"/>
        <item h="1" x="172"/>
        <item h="1" x="173"/>
        <item h="1" x="174"/>
        <item h="1" x="175"/>
        <item h="1" x="177"/>
        <item h="1" x="178"/>
        <item h="1" x="179"/>
        <item h="1" x="180"/>
        <item h="1" x="181"/>
        <item h="1" x="189"/>
        <item h="1" x="182"/>
        <item h="1" x="184"/>
        <item h="1" x="185"/>
        <item h="1" x="187"/>
        <item h="1" x="194"/>
        <item h="1" x="186"/>
        <item h="1" x="188"/>
        <item h="1" x="196"/>
        <item h="1" x="195"/>
        <item h="1" x="193"/>
        <item h="1" x="192"/>
        <item h="1" x="197"/>
        <item h="1" x="198"/>
        <item h="1" x="200"/>
        <item h="1" x="199"/>
        <item h="1" x="201"/>
        <item h="1" x="202"/>
        <item h="1" x="203"/>
        <item h="1" x="191"/>
        <item h="1" x="206"/>
        <item h="1" x="205"/>
        <item h="1" x="207"/>
        <item h="1" x="78"/>
        <item h="1" x="208"/>
        <item h="1" x="204"/>
        <item h="1" x="209"/>
        <item h="1" x="210"/>
        <item h="1" x="211"/>
        <item h="1" x="214"/>
        <item h="1" x="216"/>
        <item h="1" x="217"/>
        <item h="1" x="219"/>
        <item h="1" x="213"/>
        <item h="1" x="221"/>
        <item h="1" x="222"/>
        <item h="1" x="225"/>
        <item h="1" x="224"/>
        <item h="1" x="226"/>
        <item h="1" x="218"/>
        <item h="1" x="223"/>
        <item h="1" x="227"/>
        <item h="1" x="228"/>
        <item h="1" x="220"/>
        <item h="1" x="229"/>
        <item h="1" x="230"/>
        <item h="1" x="231"/>
        <item h="1" x="232"/>
        <item h="1" x="234"/>
        <item h="1" x="235"/>
        <item h="1" x="233"/>
        <item h="1" x="236"/>
        <item h="1" x="239"/>
        <item h="1" x="237"/>
        <item h="1" x="240"/>
        <item h="1" x="242"/>
        <item h="1" x="255"/>
        <item h="1" x="241"/>
        <item h="1" x="212"/>
        <item h="1" x="215"/>
        <item h="1" x="246"/>
        <item h="1" x="247"/>
        <item h="1" x="244"/>
        <item h="1" x="245"/>
        <item h="1" x="243"/>
        <item h="1" x="249"/>
        <item h="1" x="248"/>
        <item h="1" x="250"/>
        <item h="1" x="251"/>
        <item h="1" x="252"/>
        <item h="1" x="253"/>
        <item h="1" x="254"/>
        <item h="1" x="258"/>
        <item h="1" x="259"/>
        <item h="1" x="257"/>
        <item h="1" x="261"/>
        <item h="1" x="256"/>
        <item h="1" x="262"/>
        <item h="1" x="263"/>
        <item h="1" x="264"/>
        <item h="1" x="265"/>
        <item h="1" x="266"/>
        <item h="1" x="267"/>
        <item h="1" x="238"/>
        <item h="1" x="260"/>
        <item h="1" x="275"/>
        <item h="1" x="273"/>
        <item h="1" x="268"/>
        <item h="1" x="270"/>
        <item h="1" x="271"/>
        <item h="1" x="272"/>
        <item h="1" x="269"/>
        <item h="1" x="274"/>
        <item h="1" x="277"/>
        <item h="1" x="279"/>
        <item h="1" x="276"/>
        <item h="1" x="280"/>
        <item h="1" x="281"/>
        <item h="1" x="282"/>
        <item h="1" x="283"/>
        <item h="1" x="278"/>
        <item h="1" x="285"/>
        <item h="1" x="286"/>
        <item h="1" x="287"/>
        <item h="1" x="284"/>
        <item h="1" x="288"/>
        <item h="1" x="291"/>
        <item h="1" x="290"/>
        <item h="1" x="296"/>
        <item h="1" x="289"/>
        <item h="1" x="297"/>
        <item h="1" x="298"/>
        <item h="1" x="293"/>
        <item h="1" x="295"/>
        <item h="1" x="292"/>
        <item h="1" x="301"/>
        <item h="1" x="294"/>
        <item h="1" x="299"/>
        <item h="1" x="300"/>
        <item h="1" x="302"/>
        <item h="1" x="303"/>
        <item h="1" x="306"/>
        <item h="1" x="307"/>
        <item h="1" x="309"/>
        <item h="1" x="310"/>
        <item h="1" x="304"/>
        <item h="1" x="311"/>
        <item h="1" x="314"/>
        <item h="1" x="308"/>
        <item h="1" x="313"/>
        <item h="1" x="315"/>
        <item h="1" x="316"/>
        <item h="1" x="320"/>
        <item h="1" x="317"/>
        <item h="1" x="322"/>
        <item h="1" x="318"/>
        <item h="1" x="321"/>
        <item h="1" x="319"/>
        <item h="1" x="305"/>
        <item h="1" x="312"/>
        <item h="1" x="323"/>
        <item h="1" x="324"/>
        <item h="1" x="328"/>
        <item h="1" x="330"/>
        <item h="1" x="331"/>
        <item h="1" x="332"/>
        <item h="1" x="329"/>
        <item h="1" x="327"/>
        <item h="1" x="325"/>
        <item h="1" x="333"/>
        <item h="1" x="326"/>
        <item h="1" x="334"/>
        <item h="1" x="335"/>
        <item h="1" x="336"/>
        <item h="1" x="337"/>
        <item h="1" x="338"/>
        <item h="1" x="339"/>
        <item h="1" x="340"/>
        <item h="1" x="341"/>
        <item h="1" x="342"/>
        <item h="1" x="343"/>
        <item h="1" x="345"/>
        <item h="1" x="346"/>
        <item h="1" x="347"/>
        <item h="1" x="348"/>
        <item h="1" x="349"/>
        <item h="1" x="0"/>
        <item h="1" x="350"/>
        <item h="1" x="344"/>
        <item h="1" x="353"/>
        <item h="1" x="354"/>
        <item h="1" x="367"/>
        <item h="1" x="361"/>
        <item h="1" x="357"/>
        <item h="1" x="355"/>
        <item h="1" x="356"/>
        <item h="1" x="358"/>
        <item h="1" x="360"/>
        <item h="1" x="362"/>
        <item h="1" x="363"/>
        <item h="1" x="359"/>
        <item h="1" m="1" x="796"/>
        <item h="1" x="365"/>
        <item h="1" x="351"/>
        <item h="1" x="366"/>
        <item h="1" x="364"/>
        <item h="1" x="368"/>
        <item h="1" m="1" x="801"/>
        <item h="1" m="1" x="798"/>
        <item h="1" x="369"/>
        <item h="1" x="371"/>
        <item h="1" x="370"/>
        <item h="1" x="372"/>
        <item h="1" x="373"/>
        <item h="1" x="374"/>
        <item h="1" x="375"/>
        <item h="1" x="377"/>
        <item h="1" x="378"/>
        <item h="1" x="376"/>
        <item h="1" x="380"/>
        <item h="1" x="352"/>
        <item h="1" x="381"/>
        <item h="1" x="379"/>
        <item h="1" x="384"/>
        <item h="1" x="383"/>
        <item h="1" x="385"/>
        <item h="1" x="386"/>
        <item h="1" x="387"/>
        <item h="1" x="388"/>
        <item h="1" x="389"/>
        <item h="1" x="166"/>
        <item h="1" x="382"/>
        <item h="1" x="391"/>
        <item h="1" x="392"/>
        <item h="1" m="1" x="797"/>
        <item h="1" m="1" x="800"/>
        <item h="1" m="1" x="795"/>
        <item h="1" x="393"/>
        <item h="1" x="390"/>
        <item h="1" x="395"/>
        <item h="1" x="394"/>
        <item h="1" x="396"/>
        <item h="1" x="397"/>
        <item h="1" x="398"/>
        <item h="1" x="399"/>
        <item h="1" x="402"/>
        <item h="1" x="403"/>
        <item h="1" x="400"/>
        <item h="1" x="404"/>
        <item h="1" x="405"/>
        <item h="1" x="406"/>
        <item h="1" x="407"/>
        <item h="1" x="408"/>
        <item h="1" x="401"/>
        <item h="1" x="409"/>
        <item h="1" x="413"/>
        <item h="1" x="414"/>
        <item h="1" x="415"/>
        <item h="1" x="410"/>
        <item h="1" x="424"/>
        <item h="1" x="411"/>
        <item h="1" x="412"/>
        <item h="1" x="421"/>
        <item h="1" x="416"/>
        <item h="1" x="417"/>
        <item h="1" x="418"/>
        <item h="1" x="419"/>
        <item h="1" x="420"/>
        <item h="1" x="422"/>
        <item h="1" x="430"/>
        <item h="1" x="425"/>
        <item h="1" x="423"/>
        <item h="1" x="429"/>
        <item h="1" x="431"/>
        <item h="1" x="427"/>
        <item h="1" x="428"/>
        <item h="1" x="436"/>
        <item h="1" x="426"/>
        <item h="1" x="434"/>
        <item h="1" x="437"/>
        <item h="1" x="438"/>
        <item h="1" x="432"/>
        <item h="1" x="435"/>
        <item h="1" x="439"/>
        <item h="1" x="440"/>
        <item h="1" x="442"/>
        <item h="1" x="433"/>
        <item h="1" x="443"/>
        <item h="1" x="441"/>
        <item h="1" x="446"/>
        <item h="1" x="444"/>
        <item h="1" x="447"/>
        <item h="1" x="448"/>
        <item h="1" x="445"/>
        <item h="1" x="453"/>
        <item h="1" x="450"/>
        <item h="1" x="455"/>
        <item h="1" x="454"/>
        <item h="1" x="456"/>
        <item h="1" x="457"/>
        <item h="1" x="459"/>
        <item h="1" x="460"/>
        <item h="1" x="461"/>
        <item h="1" x="462"/>
        <item h="1" x="463"/>
        <item h="1" x="478"/>
        <item h="1" x="466"/>
        <item h="1" x="464"/>
        <item h="1" x="465"/>
        <item h="1" x="468"/>
        <item h="1" x="469"/>
        <item h="1" x="486"/>
        <item h="1" x="467"/>
        <item h="1" x="471"/>
        <item h="1" x="473"/>
        <item h="1" x="474"/>
        <item h="1" x="475"/>
        <item h="1" x="476"/>
        <item h="1" x="477"/>
        <item h="1" x="480"/>
        <item h="1" x="482"/>
        <item h="1" x="479"/>
        <item h="1" x="483"/>
        <item h="1" x="484"/>
        <item h="1" x="487"/>
        <item h="1" x="490"/>
        <item h="1" x="488"/>
        <item h="1" x="489"/>
        <item h="1" x="485"/>
        <item h="1" x="470"/>
        <item h="1" x="458"/>
        <item h="1" x="495"/>
        <item h="1" x="472"/>
        <item h="1" x="494"/>
        <item h="1" x="493"/>
        <item h="1" x="496"/>
        <item h="1" x="497"/>
        <item h="1" x="498"/>
        <item h="1" x="449"/>
        <item h="1" x="451"/>
        <item h="1" x="491"/>
        <item h="1" x="452"/>
        <item h="1" x="499"/>
        <item h="1" x="500"/>
        <item h="1" x="501"/>
        <item h="1" x="481"/>
        <item h="1" x="502"/>
        <item h="1" x="503"/>
        <item h="1" x="504"/>
        <item h="1" x="505"/>
        <item h="1" x="507"/>
        <item h="1" x="506"/>
        <item h="1" x="509"/>
        <item h="1" x="526"/>
        <item h="1" x="510"/>
        <item h="1" x="511"/>
        <item h="1" x="512"/>
        <item h="1" x="513"/>
        <item h="1" x="514"/>
        <item h="1" x="515"/>
        <item h="1" x="516"/>
        <item h="1" x="517"/>
        <item h="1" x="523"/>
        <item h="1" x="521"/>
        <item h="1" x="522"/>
        <item h="1" x="518"/>
        <item h="1" x="519"/>
        <item h="1" x="524"/>
        <item h="1" x="520"/>
        <item h="1" x="508"/>
        <item h="1" x="527"/>
        <item h="1" x="530"/>
        <item h="1" x="531"/>
        <item h="1" x="525"/>
        <item h="1" x="528"/>
        <item h="1" x="534"/>
        <item h="1" x="535"/>
        <item h="1" x="532"/>
        <item h="1" x="537"/>
        <item h="1" x="538"/>
        <item h="1" x="529"/>
        <item h="1" x="540"/>
        <item h="1" x="539"/>
        <item h="1" x="541"/>
        <item h="1" x="542"/>
        <item h="1" x="543"/>
        <item h="1" x="533"/>
        <item h="1" x="544"/>
        <item h="1" x="545"/>
        <item h="1" x="546"/>
        <item h="1" x="536"/>
        <item h="1" x="492"/>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s>
    </pivotField>
    <pivotField axis="axisRow" showAll="0" defaultSubtotal="0">
      <items count="6">
        <item x="0"/>
        <item m="1" x="5"/>
        <item x="2"/>
        <item x="1"/>
        <item x="3"/>
        <item x="4"/>
      </items>
    </pivotField>
    <pivotField showAll="0" defaultSubtotal="0"/>
    <pivotField showAll="0" defaultSubtotal="0"/>
    <pivotField axis="axisPage" showAll="0" defaultSubtotal="0">
      <items count="10">
        <item m="1" x="5"/>
        <item m="1" x="6"/>
        <item m="1" x="7"/>
        <item m="1" x="8"/>
        <item m="1" x="9"/>
        <item m="1" x="3"/>
        <item m="1" x="4"/>
        <item x="0"/>
        <item x="1"/>
        <item x="2"/>
      </items>
    </pivotField>
  </pivotFields>
  <rowFields count="5">
    <field x="0"/>
    <field x="1"/>
    <field x="3"/>
    <field x="9"/>
    <field x="14"/>
  </rowFields>
  <rowItems count="59">
    <i>
      <x v="222"/>
      <x v="4"/>
      <x v="24"/>
      <x v="98"/>
      <x/>
    </i>
    <i>
      <x v="223"/>
      <x v="17"/>
      <x v="16"/>
      <x v="109"/>
      <x/>
    </i>
    <i>
      <x v="227"/>
      <x v="16"/>
      <x v="21"/>
      <x v="104"/>
      <x/>
    </i>
    <i>
      <x v="240"/>
      <x v="36"/>
      <x v="24"/>
      <x v="127"/>
      <x/>
    </i>
    <i>
      <x v="264"/>
      <x v="8"/>
      <x v="19"/>
      <x v="160"/>
      <x/>
    </i>
    <i r="1">
      <x v="21"/>
      <x v="20"/>
      <x v="123"/>
      <x/>
    </i>
    <i>
      <x v="272"/>
      <x v="20"/>
      <x v="6"/>
      <x v="118"/>
      <x/>
    </i>
    <i>
      <x v="275"/>
      <x v="19"/>
      <x v="7"/>
      <x v="22"/>
      <x/>
    </i>
    <i>
      <x v="280"/>
      <x v="2"/>
      <x v="19"/>
      <x v="176"/>
      <x/>
    </i>
    <i>
      <x v="290"/>
      <x v="14"/>
      <x v="16"/>
      <x v="191"/>
      <x/>
    </i>
    <i>
      <x v="291"/>
      <x v="25"/>
      <x v="22"/>
      <x/>
      <x/>
    </i>
    <i>
      <x v="297"/>
      <x v="23"/>
      <x v="2"/>
      <x v="198"/>
      <x/>
    </i>
    <i>
      <x v="330"/>
      <x v="15"/>
      <x v="8"/>
      <x v="247"/>
      <x/>
    </i>
    <i>
      <x v="343"/>
      <x v="12"/>
      <x v="2"/>
      <x v="269"/>
      <x/>
    </i>
    <i>
      <x v="347"/>
      <x v="34"/>
      <x v="9"/>
      <x v="123"/>
      <x/>
    </i>
    <i>
      <x v="348"/>
      <x v="10"/>
      <x v="4"/>
      <x v="257"/>
      <x/>
    </i>
    <i>
      <x v="353"/>
      <x v="25"/>
      <x v="22"/>
      <x v="275"/>
      <x/>
    </i>
    <i>
      <x v="354"/>
      <x v="19"/>
      <x v="7"/>
      <x v="280"/>
      <x/>
    </i>
    <i r="1">
      <x v="20"/>
      <x v="6"/>
      <x v="278"/>
      <x/>
    </i>
    <i>
      <x v="356"/>
      <x v="36"/>
      <x v="24"/>
      <x v="66"/>
      <x/>
    </i>
    <i>
      <x v="369"/>
      <x v="31"/>
      <x v="10"/>
      <x v="299"/>
      <x/>
    </i>
    <i>
      <x v="380"/>
      <x v="32"/>
      <x v="15"/>
      <x v="315"/>
      <x/>
    </i>
    <i>
      <x v="428"/>
      <x v="24"/>
      <x v="17"/>
      <x v="377"/>
      <x/>
    </i>
    <i>
      <x v="455"/>
      <x v="3"/>
      <x v="12"/>
      <x v="413"/>
      <x/>
    </i>
    <i>
      <x v="456"/>
      <x v="19"/>
      <x v="7"/>
      <x v="415"/>
      <x/>
    </i>
    <i>
      <x v="462"/>
      <x v="21"/>
      <x v="26"/>
      <x v="426"/>
      <x/>
    </i>
    <i>
      <x v="463"/>
      <x v="26"/>
      <x v="22"/>
      <x v="427"/>
      <x/>
    </i>
    <i>
      <x v="466"/>
      <x v="27"/>
      <x v="24"/>
      <x v="441"/>
      <x/>
    </i>
    <i>
      <x v="468"/>
      <x v="16"/>
      <x v="21"/>
      <x v="442"/>
      <x/>
    </i>
    <i>
      <x v="531"/>
      <x v="26"/>
      <x v="22"/>
      <x v="537"/>
      <x v="4"/>
    </i>
    <i>
      <x v="536"/>
      <x v="27"/>
      <x v="24"/>
      <x v="544"/>
      <x/>
    </i>
    <i>
      <x v="537"/>
      <x v="28"/>
      <x v="24"/>
      <x v="545"/>
      <x/>
    </i>
    <i>
      <x v="570"/>
      <x v="28"/>
      <x v="24"/>
      <x v="42"/>
      <x/>
    </i>
    <i>
      <x v="571"/>
      <x v="23"/>
      <x v="2"/>
      <x v="599"/>
      <x/>
    </i>
    <i>
      <x v="581"/>
      <x v="20"/>
      <x v="6"/>
      <x v="585"/>
      <x/>
    </i>
    <i>
      <x v="605"/>
      <x v="21"/>
      <x v="20"/>
      <x v="655"/>
      <x/>
    </i>
    <i>
      <x v="707"/>
      <x v="32"/>
      <x v="15"/>
      <x v="801"/>
      <x/>
    </i>
    <i>
      <x v="723"/>
      <x v="9"/>
      <x v="23"/>
      <x/>
      <x/>
    </i>
    <i>
      <x v="724"/>
      <x v="21"/>
      <x v="20"/>
      <x v="821"/>
      <x/>
    </i>
    <i>
      <x v="725"/>
      <x v="1"/>
      <x v="12"/>
      <x v="822"/>
      <x/>
    </i>
    <i>
      <x v="726"/>
      <x v="17"/>
      <x v="16"/>
      <x v="823"/>
      <x/>
    </i>
    <i>
      <x v="728"/>
      <x v="25"/>
      <x v="22"/>
      <x v="826"/>
      <x/>
    </i>
    <i r="1">
      <x v="43"/>
      <x v="29"/>
      <x v="825"/>
      <x/>
    </i>
    <i>
      <x v="729"/>
      <x v="9"/>
      <x v="23"/>
      <x v="182"/>
      <x/>
    </i>
    <i>
      <x v="730"/>
      <x v="31"/>
      <x v="10"/>
      <x v="828"/>
      <x/>
    </i>
    <i r="1">
      <x v="35"/>
      <x v="24"/>
      <x v="827"/>
      <x/>
    </i>
    <i r="1">
      <x v="38"/>
      <x/>
      <x v="829"/>
      <x/>
    </i>
    <i>
      <x v="731"/>
      <x v="2"/>
      <x v="19"/>
      <x v="830"/>
      <x/>
    </i>
    <i>
      <x v="734"/>
      <x v="31"/>
      <x v="10"/>
      <x v="251"/>
      <x/>
    </i>
    <i>
      <x v="735"/>
      <x v="2"/>
      <x v="19"/>
      <x v="833"/>
      <x/>
    </i>
    <i>
      <x v="752"/>
      <x v="40"/>
      <x/>
      <x v="857"/>
      <x/>
    </i>
    <i>
      <x v="754"/>
      <x v="4"/>
      <x v="24"/>
      <x v="860"/>
      <x/>
    </i>
    <i>
      <x v="766"/>
      <x v="19"/>
      <x v="7"/>
      <x v="877"/>
      <x/>
    </i>
    <i>
      <x v="768"/>
      <x v="24"/>
      <x v="17"/>
      <x v="881"/>
      <x/>
    </i>
    <i>
      <x v="770"/>
      <x v="13"/>
      <x v="13"/>
      <x v="884"/>
      <x/>
    </i>
    <i>
      <x v="773"/>
      <x v="19"/>
      <x v="7"/>
      <x/>
      <x/>
    </i>
    <i>
      <x v="780"/>
      <x v="42"/>
      <x v="14"/>
      <x v="19"/>
      <x/>
    </i>
    <i>
      <x v="871"/>
      <x v="18"/>
      <x v="16"/>
      <x v="1024"/>
      <x/>
    </i>
    <i t="grand">
      <x/>
    </i>
  </rowItems>
  <colItems count="1">
    <i/>
  </colItems>
  <pageFields count="2">
    <pageField fld="17" hier="-1"/>
    <pageField fld="13" hier="-1"/>
  </pageFields>
  <formats count="33">
    <format dxfId="328">
      <pivotArea type="all" dataOnly="0" outline="0" fieldPosition="0"/>
    </format>
    <format dxfId="327">
      <pivotArea field="0" type="button" dataOnly="0" labelOnly="1" outline="0" axis="axisRow" fieldPosition="0"/>
    </format>
    <format dxfId="326">
      <pivotArea field="1" type="button" dataOnly="0" labelOnly="1" outline="0" axis="axisRow" fieldPosition="1"/>
    </format>
    <format dxfId="325">
      <pivotArea field="3" type="button" dataOnly="0" labelOnly="1" outline="0" axis="axisRow" fieldPosition="2"/>
    </format>
    <format dxfId="324">
      <pivotArea field="9" type="button" dataOnly="0" labelOnly="1" outline="0" axis="axisRow" fieldPosition="3"/>
    </format>
    <format dxfId="323">
      <pivotArea field="14" type="button" dataOnly="0" labelOnly="1" outline="0" axis="axisRow" fieldPosition="4"/>
    </format>
    <format dxfId="322">
      <pivotArea dataOnly="0" labelOnly="1" fieldPosition="0">
        <references count="1">
          <reference field="0" count="3">
            <x v="428"/>
            <x v="455"/>
            <x v="456"/>
          </reference>
        </references>
      </pivotArea>
    </format>
    <format dxfId="321">
      <pivotArea dataOnly="0" labelOnly="1" grandRow="1" outline="0" fieldPosition="0"/>
    </format>
    <format dxfId="320">
      <pivotArea dataOnly="0" labelOnly="1" fieldPosition="0">
        <references count="2">
          <reference field="0" count="1" selected="0">
            <x v="428"/>
          </reference>
          <reference field="1" count="1">
            <x v="24"/>
          </reference>
        </references>
      </pivotArea>
    </format>
    <format dxfId="319">
      <pivotArea dataOnly="0" labelOnly="1" fieldPosition="0">
        <references count="2">
          <reference field="0" count="1" selected="0">
            <x v="455"/>
          </reference>
          <reference field="1" count="1">
            <x v="3"/>
          </reference>
        </references>
      </pivotArea>
    </format>
    <format dxfId="318">
      <pivotArea dataOnly="0" labelOnly="1" fieldPosition="0">
        <references count="2">
          <reference field="0" count="1" selected="0">
            <x v="456"/>
          </reference>
          <reference field="1" count="1">
            <x v="19"/>
          </reference>
        </references>
      </pivotArea>
    </format>
    <format dxfId="317">
      <pivotArea dataOnly="0" labelOnly="1" fieldPosition="0">
        <references count="3">
          <reference field="0" count="1" selected="0">
            <x v="428"/>
          </reference>
          <reference field="1" count="1" selected="0">
            <x v="24"/>
          </reference>
          <reference field="3" count="1">
            <x v="17"/>
          </reference>
        </references>
      </pivotArea>
    </format>
    <format dxfId="316">
      <pivotArea dataOnly="0" labelOnly="1" fieldPosition="0">
        <references count="3">
          <reference field="0" count="1" selected="0">
            <x v="455"/>
          </reference>
          <reference field="1" count="1" selected="0">
            <x v="3"/>
          </reference>
          <reference field="3" count="1">
            <x v="12"/>
          </reference>
        </references>
      </pivotArea>
    </format>
    <format dxfId="315">
      <pivotArea dataOnly="0" labelOnly="1" fieldPosition="0">
        <references count="3">
          <reference field="0" count="1" selected="0">
            <x v="456"/>
          </reference>
          <reference field="1" count="1" selected="0">
            <x v="19"/>
          </reference>
          <reference field="3" count="1">
            <x v="7"/>
          </reference>
        </references>
      </pivotArea>
    </format>
    <format dxfId="314">
      <pivotArea dataOnly="0" labelOnly="1" fieldPosition="0">
        <references count="4">
          <reference field="0" count="1" selected="0">
            <x v="428"/>
          </reference>
          <reference field="1" count="1" selected="0">
            <x v="24"/>
          </reference>
          <reference field="3" count="1" selected="0">
            <x v="17"/>
          </reference>
          <reference field="9" count="1">
            <x v="377"/>
          </reference>
        </references>
      </pivotArea>
    </format>
    <format dxfId="313">
      <pivotArea dataOnly="0" labelOnly="1" fieldPosition="0">
        <references count="4">
          <reference field="0" count="1" selected="0">
            <x v="455"/>
          </reference>
          <reference field="1" count="1" selected="0">
            <x v="3"/>
          </reference>
          <reference field="3" count="1" selected="0">
            <x v="12"/>
          </reference>
          <reference field="9" count="1">
            <x v="413"/>
          </reference>
        </references>
      </pivotArea>
    </format>
    <format dxfId="312">
      <pivotArea dataOnly="0" labelOnly="1" fieldPosition="0">
        <references count="4">
          <reference field="0" count="1" selected="0">
            <x v="456"/>
          </reference>
          <reference field="1" count="1" selected="0">
            <x v="19"/>
          </reference>
          <reference field="3" count="1" selected="0">
            <x v="7"/>
          </reference>
          <reference field="9" count="1">
            <x v="415"/>
          </reference>
        </references>
      </pivotArea>
    </format>
    <format dxfId="311">
      <pivotArea dataOnly="0" labelOnly="1" fieldPosition="0">
        <references count="5">
          <reference field="0" count="1" selected="0">
            <x v="428"/>
          </reference>
          <reference field="1" count="1" selected="0">
            <x v="24"/>
          </reference>
          <reference field="3" count="1" selected="0">
            <x v="17"/>
          </reference>
          <reference field="9" count="1" selected="0">
            <x v="377"/>
          </reference>
          <reference field="14" count="1">
            <x v="0"/>
          </reference>
        </references>
      </pivotArea>
    </format>
    <format dxfId="310">
      <pivotArea dataOnly="0" labelOnly="1" fieldPosition="0">
        <references count="5">
          <reference field="0" count="1" selected="0">
            <x v="455"/>
          </reference>
          <reference field="1" count="1" selected="0">
            <x v="3"/>
          </reference>
          <reference field="3" count="1" selected="0">
            <x v="12"/>
          </reference>
          <reference field="9" count="1" selected="0">
            <x v="413"/>
          </reference>
          <reference field="14" count="1">
            <x v="0"/>
          </reference>
        </references>
      </pivotArea>
    </format>
    <format dxfId="309">
      <pivotArea dataOnly="0" labelOnly="1" fieldPosition="0">
        <references count="5">
          <reference field="0" count="1" selected="0">
            <x v="456"/>
          </reference>
          <reference field="1" count="1" selected="0">
            <x v="19"/>
          </reference>
          <reference field="3" count="1" selected="0">
            <x v="7"/>
          </reference>
          <reference field="9" count="1" selected="0">
            <x v="415"/>
          </reference>
          <reference field="14" count="1">
            <x v="0"/>
          </reference>
        </references>
      </pivotArea>
    </format>
    <format dxfId="308">
      <pivotArea dataOnly="0" labelOnly="1" fieldPosition="0">
        <references count="1">
          <reference field="0" count="3">
            <x v="428"/>
            <x v="455"/>
            <x v="456"/>
          </reference>
        </references>
      </pivotArea>
    </format>
    <format dxfId="307">
      <pivotArea dataOnly="0" labelOnly="1" fieldPosition="0">
        <references count="2">
          <reference field="0" count="1" selected="0">
            <x v="428"/>
          </reference>
          <reference field="1" count="1">
            <x v="24"/>
          </reference>
        </references>
      </pivotArea>
    </format>
    <format dxfId="306">
      <pivotArea dataOnly="0" labelOnly="1" fieldPosition="0">
        <references count="2">
          <reference field="0" count="1" selected="0">
            <x v="455"/>
          </reference>
          <reference field="1" count="1">
            <x v="3"/>
          </reference>
        </references>
      </pivotArea>
    </format>
    <format dxfId="305">
      <pivotArea dataOnly="0" labelOnly="1" fieldPosition="0">
        <references count="2">
          <reference field="0" count="1" selected="0">
            <x v="456"/>
          </reference>
          <reference field="1" count="1">
            <x v="19"/>
          </reference>
        </references>
      </pivotArea>
    </format>
    <format dxfId="304">
      <pivotArea dataOnly="0" labelOnly="1" fieldPosition="0">
        <references count="3">
          <reference field="0" count="1" selected="0">
            <x v="428"/>
          </reference>
          <reference field="1" count="1" selected="0">
            <x v="24"/>
          </reference>
          <reference field="3" count="1">
            <x v="17"/>
          </reference>
        </references>
      </pivotArea>
    </format>
    <format dxfId="303">
      <pivotArea dataOnly="0" labelOnly="1" fieldPosition="0">
        <references count="3">
          <reference field="0" count="1" selected="0">
            <x v="455"/>
          </reference>
          <reference field="1" count="1" selected="0">
            <x v="3"/>
          </reference>
          <reference field="3" count="1">
            <x v="12"/>
          </reference>
        </references>
      </pivotArea>
    </format>
    <format dxfId="302">
      <pivotArea dataOnly="0" labelOnly="1" fieldPosition="0">
        <references count="3">
          <reference field="0" count="1" selected="0">
            <x v="456"/>
          </reference>
          <reference field="1" count="1" selected="0">
            <x v="19"/>
          </reference>
          <reference field="3" count="1">
            <x v="7"/>
          </reference>
        </references>
      </pivotArea>
    </format>
    <format dxfId="301">
      <pivotArea dataOnly="0" labelOnly="1" fieldPosition="0">
        <references count="4">
          <reference field="0" count="1" selected="0">
            <x v="428"/>
          </reference>
          <reference field="1" count="1" selected="0">
            <x v="24"/>
          </reference>
          <reference field="3" count="1" selected="0">
            <x v="17"/>
          </reference>
          <reference field="9" count="1">
            <x v="377"/>
          </reference>
        </references>
      </pivotArea>
    </format>
    <format dxfId="300">
      <pivotArea dataOnly="0" labelOnly="1" fieldPosition="0">
        <references count="4">
          <reference field="0" count="1" selected="0">
            <x v="455"/>
          </reference>
          <reference field="1" count="1" selected="0">
            <x v="3"/>
          </reference>
          <reference field="3" count="1" selected="0">
            <x v="12"/>
          </reference>
          <reference field="9" count="1">
            <x v="413"/>
          </reference>
        </references>
      </pivotArea>
    </format>
    <format dxfId="299">
      <pivotArea dataOnly="0" labelOnly="1" fieldPosition="0">
        <references count="4">
          <reference field="0" count="1" selected="0">
            <x v="456"/>
          </reference>
          <reference field="1" count="1" selected="0">
            <x v="19"/>
          </reference>
          <reference field="3" count="1" selected="0">
            <x v="7"/>
          </reference>
          <reference field="9" count="1">
            <x v="415"/>
          </reference>
        </references>
      </pivotArea>
    </format>
    <format dxfId="298">
      <pivotArea dataOnly="0" labelOnly="1" fieldPosition="0">
        <references count="5">
          <reference field="0" count="1" selected="0">
            <x v="428"/>
          </reference>
          <reference field="1" count="1" selected="0">
            <x v="24"/>
          </reference>
          <reference field="3" count="1" selected="0">
            <x v="17"/>
          </reference>
          <reference field="9" count="1" selected="0">
            <x v="377"/>
          </reference>
          <reference field="14" count="1">
            <x v="0"/>
          </reference>
        </references>
      </pivotArea>
    </format>
    <format dxfId="297">
      <pivotArea dataOnly="0" labelOnly="1" fieldPosition="0">
        <references count="5">
          <reference field="0" count="1" selected="0">
            <x v="455"/>
          </reference>
          <reference field="1" count="1" selected="0">
            <x v="3"/>
          </reference>
          <reference field="3" count="1" selected="0">
            <x v="12"/>
          </reference>
          <reference field="9" count="1" selected="0">
            <x v="413"/>
          </reference>
          <reference field="14" count="1">
            <x v="0"/>
          </reference>
        </references>
      </pivotArea>
    </format>
    <format dxfId="296">
      <pivotArea dataOnly="0" labelOnly="1" fieldPosition="0">
        <references count="5">
          <reference field="0" count="1" selected="0">
            <x v="456"/>
          </reference>
          <reference field="1" count="1" selected="0">
            <x v="19"/>
          </reference>
          <reference field="3" count="1" selected="0">
            <x v="7"/>
          </reference>
          <reference field="9" count="1" selected="0">
            <x v="415"/>
          </reference>
          <reference field="14" count="1">
            <x v="0"/>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Tableau croisé dynamique2" cacheId="5" applyNumberFormats="0" applyBorderFormats="0" applyFontFormats="0" applyPatternFormats="0" applyAlignmentFormats="0" applyWidthHeightFormats="1" dataCaption="Valeurs" updatedVersion="3" minRefreshableVersion="3" preserveFormatting="0" itemPrintTitles="1" createdVersion="4" indent="0" outline="1" outlineData="1" multipleFieldFilters="0">
  <location ref="A6:C69" firstHeaderRow="1" firstDataRow="1" firstDataCol="3" rowPageCount="3" colPageCount="1"/>
  <pivotFields count="18">
    <pivotField axis="axisRow" numFmtId="14" outline="0" showAll="0" defaultSubtotal="0">
      <items count="957">
        <item m="1" x="914"/>
        <item m="1" x="883"/>
        <item m="1" x="806"/>
        <item m="1" x="884"/>
        <item m="1" x="807"/>
        <item m="1" x="886"/>
        <item m="1" x="809"/>
        <item m="1" x="887"/>
        <item m="1" x="889"/>
        <item m="1" x="813"/>
        <item m="1" x="891"/>
        <item m="1" x="816"/>
        <item m="1" x="824"/>
        <item m="1" x="905"/>
        <item m="1" x="910"/>
        <item m="1" x="832"/>
        <item m="1" x="915"/>
        <item m="1" x="885"/>
        <item m="1" x="808"/>
        <item m="1" x="810"/>
        <item m="1" x="811"/>
        <item m="1" x="890"/>
        <item m="1" x="814"/>
        <item m="1" x="893"/>
        <item m="1" x="818"/>
        <item m="1" x="895"/>
        <item m="1" x="821"/>
        <item m="1" x="898"/>
        <item m="1" x="825"/>
        <item m="1" x="828"/>
        <item m="1" x="906"/>
        <item m="1" x="830"/>
        <item m="1" x="916"/>
        <item m="1" x="845"/>
        <item m="1" x="888"/>
        <item m="1" x="812"/>
        <item m="1" x="815"/>
        <item m="1" x="819"/>
        <item m="1" x="896"/>
        <item m="1" x="822"/>
        <item m="1" x="899"/>
        <item m="1" x="826"/>
        <item m="1" x="902"/>
        <item m="1" x="907"/>
        <item m="1" x="911"/>
        <item m="1" x="917"/>
        <item m="1" x="841"/>
        <item m="1" x="846"/>
        <item m="1" x="850"/>
        <item m="1" x="892"/>
        <item m="1" x="817"/>
        <item m="1" x="894"/>
        <item m="1" x="820"/>
        <item m="1" x="823"/>
        <item m="1" x="900"/>
        <item m="1" x="829"/>
        <item m="1" x="908"/>
        <item m="1" x="912"/>
        <item m="1" x="833"/>
        <item m="1" x="918"/>
        <item m="1" x="837"/>
        <item m="1" x="921"/>
        <item m="1" x="842"/>
        <item m="1" x="847"/>
        <item m="1" x="928"/>
        <item m="1" x="851"/>
        <item m="1" x="936"/>
        <item m="1" x="939"/>
        <item m="1" x="861"/>
        <item m="1" x="941"/>
        <item m="1" x="864"/>
        <item m="1" x="897"/>
        <item m="1" x="901"/>
        <item m="1" x="827"/>
        <item m="1" x="834"/>
        <item m="1" x="919"/>
        <item m="1" x="838"/>
        <item m="1" x="922"/>
        <item m="1" x="843"/>
        <item m="1" x="924"/>
        <item m="1" x="848"/>
        <item m="1" x="929"/>
        <item m="1" x="852"/>
        <item m="1" x="933"/>
        <item m="1" x="856"/>
        <item m="1" x="937"/>
        <item m="1" x="858"/>
        <item m="1" x="942"/>
        <item m="1" x="865"/>
        <item m="1" x="944"/>
        <item m="1" x="868"/>
        <item m="1" x="903"/>
        <item m="1" x="909"/>
        <item m="1" x="831"/>
        <item m="1" x="835"/>
        <item m="1" x="839"/>
        <item m="1" x="923"/>
        <item m="1" x="844"/>
        <item m="1" x="925"/>
        <item m="1" x="849"/>
        <item m="1" x="930"/>
        <item m="1" x="853"/>
        <item m="1" x="934"/>
        <item m="1" x="857"/>
        <item m="1" x="938"/>
        <item m="1" x="859"/>
        <item m="1" x="940"/>
        <item m="1" x="862"/>
        <item m="1" x="866"/>
        <item m="1" x="869"/>
        <item m="1" x="945"/>
        <item m="1" x="871"/>
        <item m="1" x="947"/>
        <item m="1" x="950"/>
        <item m="1" x="877"/>
        <item m="1" x="953"/>
        <item m="1" x="913"/>
        <item m="1" x="836"/>
        <item m="1" x="920"/>
        <item m="1" x="840"/>
        <item m="1" x="926"/>
        <item m="1" x="872"/>
        <item m="1" x="878"/>
        <item m="1" x="854"/>
        <item m="1" x="863"/>
        <item m="1" x="943"/>
        <item m="1" x="867"/>
        <item m="1" x="870"/>
        <item m="1" x="946"/>
        <item m="1" x="876"/>
        <item m="1" x="951"/>
        <item m="1" x="954"/>
        <item m="1" x="949"/>
        <item m="1" x="880"/>
        <item m="1" x="955"/>
        <item m="1" x="927"/>
        <item m="1" x="931"/>
        <item m="1" x="948"/>
        <item m="1" x="935"/>
        <item m="1" x="860"/>
        <item m="1" x="873"/>
        <item m="1" x="956"/>
        <item m="1" x="881"/>
        <item m="1" x="882"/>
        <item m="1" x="932"/>
        <item m="1" x="855"/>
        <item m="1" x="874"/>
        <item m="1" x="952"/>
        <item m="1" x="879"/>
        <item x="2"/>
        <item x="4"/>
        <item x="1"/>
        <item x="3"/>
        <item x="5"/>
        <item x="6"/>
        <item x="7"/>
        <item x="9"/>
        <item x="11"/>
        <item x="12"/>
        <item x="13"/>
        <item x="10"/>
        <item x="17"/>
        <item x="14"/>
        <item x="8"/>
        <item x="22"/>
        <item x="24"/>
        <item x="25"/>
        <item x="28"/>
        <item x="15"/>
        <item x="16"/>
        <item x="18"/>
        <item x="19"/>
        <item x="21"/>
        <item x="23"/>
        <item x="26"/>
        <item x="27"/>
        <item x="29"/>
        <item x="31"/>
        <item x="36"/>
        <item x="41"/>
        <item x="32"/>
        <item x="30"/>
        <item x="33"/>
        <item x="34"/>
        <item x="42"/>
        <item x="39"/>
        <item x="44"/>
        <item x="190"/>
        <item x="46"/>
        <item x="47"/>
        <item x="48"/>
        <item x="50"/>
        <item x="53"/>
        <item x="54"/>
        <item x="55"/>
        <item x="20"/>
        <item x="35"/>
        <item x="37"/>
        <item x="38"/>
        <item x="40"/>
        <item x="43"/>
        <item x="45"/>
        <item x="52"/>
        <item x="64"/>
        <item x="51"/>
        <item x="57"/>
        <item x="59"/>
        <item x="49"/>
        <item x="61"/>
        <item x="66"/>
        <item x="62"/>
        <item x="63"/>
        <item x="65"/>
        <item x="67"/>
        <item x="69"/>
        <item x="70"/>
        <item x="71"/>
        <item x="72"/>
        <item x="73"/>
        <item x="75"/>
        <item x="78"/>
        <item x="79"/>
        <item x="74"/>
        <item x="77"/>
        <item x="58"/>
        <item x="60"/>
        <item x="68"/>
        <item x="56"/>
        <item x="84"/>
        <item x="85"/>
        <item x="87"/>
        <item x="88"/>
        <item x="90"/>
        <item x="91"/>
        <item x="92"/>
        <item x="93"/>
        <item x="89"/>
        <item x="94"/>
        <item x="95"/>
        <item x="96"/>
        <item x="97"/>
        <item x="98"/>
        <item x="99"/>
        <item x="100"/>
        <item x="101"/>
        <item x="102"/>
        <item x="103"/>
        <item x="104"/>
        <item x="105"/>
        <item x="106"/>
        <item x="107"/>
        <item x="108"/>
        <item x="109"/>
        <item x="110"/>
        <item x="111"/>
        <item m="1" x="904"/>
        <item x="80"/>
        <item x="81"/>
        <item x="82"/>
        <item x="83"/>
        <item x="86"/>
        <item x="112"/>
        <item x="113"/>
        <item x="114"/>
        <item x="115"/>
        <item x="116"/>
        <item x="117"/>
        <item x="118"/>
        <item x="119"/>
        <item x="124"/>
        <item x="120"/>
        <item x="121"/>
        <item x="122"/>
        <item x="123"/>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8"/>
        <item x="159"/>
        <item x="160"/>
        <item x="161"/>
        <item x="162"/>
        <item x="163"/>
        <item x="164"/>
        <item x="165"/>
        <item x="167"/>
        <item x="176"/>
        <item x="166"/>
        <item x="157"/>
        <item x="169"/>
        <item x="170"/>
        <item x="171"/>
        <item x="183"/>
        <item x="173"/>
        <item x="172"/>
        <item x="174"/>
        <item x="175"/>
        <item x="177"/>
        <item x="178"/>
        <item x="179"/>
        <item x="180"/>
        <item x="168"/>
        <item x="181"/>
        <item x="189"/>
        <item x="182"/>
        <item x="184"/>
        <item x="185"/>
        <item x="187"/>
        <item x="194"/>
        <item x="186"/>
        <item x="188"/>
        <item x="195"/>
        <item x="193"/>
        <item x="192"/>
        <item x="196"/>
        <item x="198"/>
        <item x="199"/>
        <item x="200"/>
        <item x="201"/>
        <item x="202"/>
        <item x="203"/>
        <item x="204"/>
        <item x="197"/>
        <item x="208"/>
        <item x="205"/>
        <item x="206"/>
        <item x="191"/>
        <item x="207"/>
        <item x="209"/>
        <item x="212"/>
        <item x="211"/>
        <item x="213"/>
        <item x="214"/>
        <item x="215"/>
        <item x="237"/>
        <item x="238"/>
        <item x="240"/>
        <item x="216"/>
        <item x="210"/>
        <item x="217"/>
        <item x="219"/>
        <item x="218"/>
        <item x="220"/>
        <item x="224"/>
        <item x="227"/>
        <item x="228"/>
        <item x="229"/>
        <item x="222"/>
        <item x="230"/>
        <item x="231"/>
        <item x="232"/>
        <item x="235"/>
        <item x="234"/>
        <item x="236"/>
        <item x="239"/>
        <item x="241"/>
        <item x="242"/>
        <item x="243"/>
        <item x="244"/>
        <item x="245"/>
        <item x="246"/>
        <item x="247"/>
        <item x="248"/>
        <item x="250"/>
        <item x="249"/>
        <item x="251"/>
        <item x="267"/>
        <item x="221"/>
        <item x="223"/>
        <item x="226"/>
        <item x="233"/>
        <item x="225"/>
        <item x="254"/>
        <item x="255"/>
        <item x="253"/>
        <item x="258"/>
        <item x="257"/>
        <item x="256"/>
        <item x="259"/>
        <item x="260"/>
        <item x="261"/>
        <item x="262"/>
        <item x="263"/>
        <item x="264"/>
        <item x="252"/>
        <item x="265"/>
        <item x="266"/>
        <item x="269"/>
        <item x="270"/>
        <item x="271"/>
        <item x="268"/>
        <item x="273"/>
        <item x="274"/>
        <item x="275"/>
        <item x="276"/>
        <item x="277"/>
        <item x="278"/>
        <item x="279"/>
        <item x="280"/>
        <item x="281"/>
        <item x="272"/>
        <item x="291"/>
        <item x="289"/>
        <item x="282"/>
        <item x="283"/>
        <item x="284"/>
        <item x="285"/>
        <item x="286"/>
        <item x="287"/>
        <item x="288"/>
        <item x="290"/>
        <item x="293"/>
        <item x="294"/>
        <item x="295"/>
        <item x="296"/>
        <item x="297"/>
        <item x="298"/>
        <item x="292"/>
        <item x="299"/>
        <item x="300"/>
        <item x="301"/>
        <item x="303"/>
        <item x="304"/>
        <item x="305"/>
        <item x="306"/>
        <item x="307"/>
        <item x="308"/>
        <item x="302"/>
        <item x="310"/>
        <item x="309"/>
        <item x="314"/>
        <item x="315"/>
        <item x="312"/>
        <item x="313"/>
        <item x="316"/>
        <item x="311"/>
        <item x="319"/>
        <item x="318"/>
        <item x="317"/>
        <item x="322"/>
        <item x="321"/>
        <item x="320"/>
        <item x="324"/>
        <item x="325"/>
        <item x="327"/>
        <item x="328"/>
        <item x="323"/>
        <item x="329"/>
        <item x="331"/>
        <item x="326"/>
        <item x="330"/>
        <item x="332"/>
        <item x="333"/>
        <item x="337"/>
        <item x="338"/>
        <item x="334"/>
        <item x="335"/>
        <item x="339"/>
        <item x="340"/>
        <item x="341"/>
        <item x="344"/>
        <item x="345"/>
        <item x="346"/>
        <item x="347"/>
        <item x="343"/>
        <item x="348"/>
        <item x="336"/>
        <item x="342"/>
        <item x="349"/>
        <item x="76"/>
        <item x="350"/>
        <item x="351"/>
        <item x="352"/>
        <item x="353"/>
        <item x="354"/>
        <item x="355"/>
        <item x="356"/>
        <item x="357"/>
        <item x="358"/>
        <item x="359"/>
        <item x="360"/>
        <item x="361"/>
        <item x="362"/>
        <item x="363"/>
        <item x="364"/>
        <item x="365"/>
        <item x="366"/>
        <item x="367"/>
        <item x="0"/>
        <item x="368"/>
        <item x="369"/>
        <item x="370"/>
        <item x="371"/>
        <item x="383"/>
        <item x="377"/>
        <item x="374"/>
        <item x="372"/>
        <item x="373"/>
        <item x="375"/>
        <item x="376"/>
        <item x="378"/>
        <item x="379"/>
        <item x="385"/>
        <item x="381"/>
        <item x="382"/>
        <item x="380"/>
        <item x="384"/>
        <item x="386"/>
        <item x="387"/>
        <item x="388"/>
        <item x="389"/>
        <item x="390"/>
        <item x="391"/>
        <item x="392"/>
        <item x="393"/>
        <item x="394"/>
        <item x="397"/>
        <item x="398"/>
        <item x="399"/>
        <item x="395"/>
        <item x="401"/>
        <item x="400"/>
        <item x="396"/>
        <item x="408"/>
        <item x="403"/>
        <item x="404"/>
        <item x="405"/>
        <item x="406"/>
        <item x="407"/>
        <item x="409"/>
        <item x="402"/>
        <item x="411"/>
        <item x="412"/>
        <item x="413"/>
        <item x="414"/>
        <item x="415"/>
        <item x="417"/>
        <item x="410"/>
        <item x="419"/>
        <item x="416"/>
        <item x="418"/>
        <item x="420"/>
        <item x="421"/>
        <item x="422"/>
        <item x="423"/>
        <item x="424"/>
        <item x="425"/>
        <item x="426"/>
        <item x="427"/>
        <item x="428"/>
        <item x="430"/>
        <item x="429"/>
        <item x="431"/>
        <item x="432"/>
        <item x="433"/>
        <item x="435"/>
        <item m="1" x="875"/>
        <item x="434"/>
        <item x="438"/>
        <item x="446"/>
        <item x="437"/>
        <item x="436"/>
        <item x="439"/>
        <item x="447"/>
        <item x="441"/>
        <item x="440"/>
        <item x="448"/>
        <item x="442"/>
        <item x="444"/>
        <item x="449"/>
        <item x="445"/>
        <item x="454"/>
        <item x="443"/>
        <item x="452"/>
        <item x="457"/>
        <item x="456"/>
        <item x="462"/>
        <item x="458"/>
        <item x="459"/>
        <item x="453"/>
        <item x="461"/>
        <item x="455"/>
        <item x="450"/>
        <item x="451"/>
        <item x="463"/>
        <item x="460"/>
        <item x="466"/>
        <item x="467"/>
        <item x="465"/>
        <item x="468"/>
        <item x="469"/>
        <item x="470"/>
        <item x="475"/>
        <item x="472"/>
        <item x="477"/>
        <item x="476"/>
        <item x="478"/>
        <item x="479"/>
        <item x="481"/>
        <item x="482"/>
        <item x="483"/>
        <item x="495"/>
        <item x="486"/>
        <item x="484"/>
        <item x="485"/>
        <item x="487"/>
        <item x="488"/>
        <item x="503"/>
        <item x="489"/>
        <item x="490"/>
        <item x="491"/>
        <item x="492"/>
        <item x="493"/>
        <item x="494"/>
        <item x="496"/>
        <item x="497"/>
        <item x="498"/>
        <item x="499"/>
        <item x="500"/>
        <item x="502"/>
        <item x="501"/>
        <item x="504"/>
        <item x="507"/>
        <item x="505"/>
        <item x="506"/>
        <item x="510"/>
        <item x="516"/>
        <item x="508"/>
        <item x="511"/>
        <item x="513"/>
        <item x="514"/>
        <item x="515"/>
        <item x="519"/>
        <item x="471"/>
        <item x="473"/>
        <item x="474"/>
        <item x="517"/>
        <item x="480"/>
        <item x="518"/>
        <item x="520"/>
        <item x="521"/>
        <item x="522"/>
        <item x="523"/>
        <item x="525"/>
        <item x="524"/>
        <item x="527"/>
        <item x="541"/>
        <item x="528"/>
        <item x="529"/>
        <item x="530"/>
        <item x="531"/>
        <item x="537"/>
        <item x="535"/>
        <item x="532"/>
        <item x="536"/>
        <item x="533"/>
        <item x="534"/>
        <item x="538"/>
        <item x="539"/>
        <item x="542"/>
        <item x="543"/>
        <item x="546"/>
        <item x="548"/>
        <item x="547"/>
        <item x="544"/>
        <item x="551"/>
        <item x="553"/>
        <item x="554"/>
        <item x="549"/>
        <item x="552"/>
        <item x="556"/>
        <item x="557"/>
        <item x="545"/>
        <item x="560"/>
        <item x="559"/>
        <item x="558"/>
        <item x="562"/>
        <item x="561"/>
        <item x="563"/>
        <item x="564"/>
        <item x="550"/>
        <item x="565"/>
        <item x="566"/>
        <item x="567"/>
        <item x="555"/>
        <item x="526"/>
        <item x="540"/>
        <item x="464"/>
        <item x="509"/>
        <item x="512"/>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s>
    </pivotField>
    <pivotField axis="axisPage" showAll="0" defaultSubtotal="0">
      <items count="47">
        <item x="31"/>
        <item x="1"/>
        <item x="20"/>
        <item x="25"/>
        <item x="5"/>
        <item x="23"/>
        <item x="13"/>
        <item x="18"/>
        <item x="8"/>
        <item x="10"/>
        <item x="19"/>
        <item x="14"/>
        <item x="0"/>
        <item x="38"/>
        <item x="35"/>
        <item x="34"/>
        <item x="22"/>
        <item x="28"/>
        <item x="21"/>
        <item x="15"/>
        <item x="29"/>
        <item x="26"/>
        <item x="27"/>
        <item x="24"/>
        <item x="2"/>
        <item x="7"/>
        <item x="16"/>
        <item x="12"/>
        <item x="11"/>
        <item x="37"/>
        <item x="36"/>
        <item x="17"/>
        <item x="33"/>
        <item x="32"/>
        <item x="9"/>
        <item x="4"/>
        <item x="3"/>
        <item x="6"/>
        <item x="39"/>
        <item x="30"/>
        <item x="40"/>
        <item x="41"/>
        <item x="42"/>
        <item x="43"/>
        <item x="44"/>
        <item x="45"/>
        <item x="46"/>
      </items>
    </pivotField>
    <pivotField showAll="0" defaultSubtotal="0"/>
    <pivotField multipleItemSelectionAllowed="1" showAll="0" defaultSubtotal="0"/>
    <pivotField showAll="0" defaultSubtotal="0"/>
    <pivotField showAll="0" defaultSubtotal="0"/>
    <pivotField axis="axisRow" showAll="0" defaultSubtotal="0">
      <items count="197">
        <item m="1" x="192"/>
        <item x="4"/>
        <item x="10"/>
        <item x="41"/>
        <item x="3"/>
        <item x="5"/>
        <item x="1"/>
        <item m="1" x="191"/>
        <item x="6"/>
        <item x="7"/>
        <item x="37"/>
        <item m="1" x="196"/>
        <item x="24"/>
        <item x="0"/>
        <item m="1" x="195"/>
        <item x="8"/>
        <item x="35"/>
        <item x="27"/>
        <item x="11"/>
        <item m="1" x="193"/>
        <item x="9"/>
        <item x="13"/>
        <item x="15"/>
        <item x="12"/>
        <item x="16"/>
        <item x="17"/>
        <item x="14"/>
        <item m="1" x="194"/>
        <item x="51"/>
        <item x="19"/>
        <item x="2"/>
        <item x="18"/>
        <item x="22"/>
        <item x="23"/>
        <item x="20"/>
        <item x="21"/>
        <item x="26"/>
        <item x="28"/>
        <item x="29"/>
        <item x="31"/>
        <item x="30"/>
        <item x="32"/>
        <item x="25"/>
        <item x="33"/>
        <item x="34"/>
        <item x="36"/>
        <item x="38"/>
        <item x="39"/>
        <item x="40"/>
        <item x="42"/>
        <item x="43"/>
        <item x="44"/>
        <item x="45"/>
        <item x="46"/>
        <item x="47"/>
        <item x="153"/>
        <item x="48"/>
        <item x="49"/>
        <item x="50"/>
        <item x="53"/>
        <item x="52"/>
        <item x="55"/>
        <item x="54"/>
        <item x="56"/>
        <item x="57"/>
        <item x="58"/>
        <item x="60"/>
        <item x="61"/>
        <item x="59"/>
        <item x="63"/>
        <item x="62"/>
        <item x="64"/>
        <item x="65"/>
        <item x="66"/>
        <item x="69"/>
        <item x="68"/>
        <item x="67"/>
        <item x="70"/>
        <item x="71"/>
        <item x="73"/>
        <item x="74"/>
        <item x="72"/>
        <item x="76"/>
        <item x="77"/>
        <item x="75"/>
        <item x="79"/>
        <item x="78"/>
        <item x="80"/>
        <item x="81"/>
        <item x="82"/>
        <item x="85"/>
        <item x="83"/>
        <item x="84"/>
        <item x="86"/>
        <item x="87"/>
        <item x="88"/>
        <item x="89"/>
        <item x="90"/>
        <item x="91"/>
        <item x="93"/>
        <item x="92"/>
        <item x="155"/>
        <item x="94"/>
        <item x="96"/>
        <item x="95"/>
        <item x="97"/>
        <item x="98"/>
        <item x="99"/>
        <item x="100"/>
        <item x="105"/>
        <item x="102"/>
        <item x="103"/>
        <item x="101"/>
        <item x="106"/>
        <item x="104"/>
        <item x="107"/>
        <item x="108"/>
        <item x="109"/>
        <item x="110"/>
        <item x="111"/>
        <item x="112"/>
        <item x="113"/>
        <item x="114"/>
        <item x="116"/>
        <item x="117"/>
        <item x="122"/>
        <item x="118"/>
        <item x="119"/>
        <item x="121"/>
        <item x="124"/>
        <item x="123"/>
        <item x="125"/>
        <item x="126"/>
        <item x="127"/>
        <item x="128"/>
        <item x="115"/>
        <item x="129"/>
        <item x="130"/>
        <item x="134"/>
        <item x="131"/>
        <item x="132"/>
        <item x="133"/>
        <item x="136"/>
        <item x="135"/>
        <item x="137"/>
        <item x="138"/>
        <item x="140"/>
        <item x="139"/>
        <item x="141"/>
        <item x="120"/>
        <item x="142"/>
        <item x="143"/>
        <item x="144"/>
        <item x="145"/>
        <item x="146"/>
        <item x="147"/>
        <item x="148"/>
        <item x="149"/>
        <item x="150"/>
        <item x="151"/>
        <item x="152"/>
        <item x="154"/>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s>
    </pivotField>
    <pivotField showAll="0"/>
    <pivotField showAll="0"/>
    <pivotField axis="axisRow" outline="0" showAll="0" defaultSubtotal="0">
      <items count="1166">
        <item x="26"/>
        <item x="50"/>
        <item x="3"/>
        <item x="5"/>
        <item x="6"/>
        <item x="7"/>
        <item x="8"/>
        <item x="1"/>
        <item x="4"/>
        <item x="9"/>
        <item x="10"/>
        <item x="11"/>
        <item x="13"/>
        <item x="14"/>
        <item x="17"/>
        <item x="18"/>
        <item x="19"/>
        <item x="20"/>
        <item x="2"/>
        <item x="16"/>
        <item x="21"/>
        <item x="27"/>
        <item x="23"/>
        <item x="12"/>
        <item x="37"/>
        <item x="40"/>
        <item x="42"/>
        <item x="24"/>
        <item x="25"/>
        <item x="15"/>
        <item x="22"/>
        <item x="29"/>
        <item x="30"/>
        <item x="31"/>
        <item x="32"/>
        <item x="38"/>
        <item x="36"/>
        <item x="43"/>
        <item x="33"/>
        <item x="41"/>
        <item x="44"/>
        <item x="45"/>
        <item x="48"/>
        <item x="52"/>
        <item x="53"/>
        <item x="46"/>
        <item x="55"/>
        <item x="59"/>
        <item x="39"/>
        <item x="61"/>
        <item x="65"/>
        <item x="66"/>
        <item x="167"/>
        <item x="71"/>
        <item x="81"/>
        <item x="77"/>
        <item x="35"/>
        <item x="28"/>
        <item x="49"/>
        <item x="47"/>
        <item x="62"/>
        <item x="69"/>
        <item x="72"/>
        <item x="80"/>
        <item x="51"/>
        <item x="54"/>
        <item x="56"/>
        <item x="57"/>
        <item x="34"/>
        <item x="60"/>
        <item x="63"/>
        <item x="64"/>
        <item x="68"/>
        <item x="67"/>
        <item x="70"/>
        <item x="73"/>
        <item x="75"/>
        <item x="78"/>
        <item x="79"/>
        <item x="97"/>
        <item x="76"/>
        <item x="84"/>
        <item x="82"/>
        <item x="86"/>
        <item x="74"/>
        <item x="90"/>
        <item x="99"/>
        <item x="91"/>
        <item x="93"/>
        <item x="94"/>
        <item x="95"/>
        <item x="98"/>
        <item x="101"/>
        <item x="102"/>
        <item x="104"/>
        <item x="106"/>
        <item x="108"/>
        <item x="110"/>
        <item x="109"/>
        <item x="85"/>
        <item x="87"/>
        <item x="89"/>
        <item x="100"/>
        <item x="105"/>
        <item x="83"/>
        <item x="92"/>
        <item x="103"/>
        <item x="107"/>
        <item x="96"/>
        <item x="111"/>
        <item x="119"/>
        <item x="121"/>
        <item x="122"/>
        <item x="124"/>
        <item x="126"/>
        <item x="127"/>
        <item x="128"/>
        <item x="129"/>
        <item x="130"/>
        <item x="131"/>
        <item x="125"/>
        <item x="123"/>
        <item x="132"/>
        <item x="133"/>
        <item x="134"/>
        <item x="135"/>
        <item x="136"/>
        <item x="137"/>
        <item x="138"/>
        <item x="140"/>
        <item x="141"/>
        <item x="139"/>
        <item x="142"/>
        <item x="144"/>
        <item x="145"/>
        <item x="146"/>
        <item x="147"/>
        <item x="148"/>
        <item x="149"/>
        <item x="150"/>
        <item x="151"/>
        <item x="152"/>
        <item x="153"/>
        <item x="155"/>
        <item x="467"/>
        <item x="88"/>
        <item x="112"/>
        <item x="113"/>
        <item x="114"/>
        <item x="115"/>
        <item x="116"/>
        <item x="117"/>
        <item x="118"/>
        <item x="120"/>
        <item x="143"/>
        <item x="154"/>
        <item x="156"/>
        <item x="157"/>
        <item x="158"/>
        <item x="159"/>
        <item x="160"/>
        <item x="161"/>
        <item x="162"/>
        <item x="163"/>
        <item x="164"/>
        <item x="165"/>
        <item x="166"/>
        <item x="168"/>
        <item x="169"/>
        <item x="170"/>
        <item x="171"/>
        <item x="172"/>
        <item x="173"/>
        <item x="174"/>
        <item x="175"/>
        <item x="176"/>
        <item x="177"/>
        <item x="178"/>
        <item x="179"/>
        <item x="180"/>
        <item x="182"/>
        <item x="181"/>
        <item x="183"/>
        <item x="184"/>
        <item x="185"/>
        <item x="186"/>
        <item x="187"/>
        <item x="188"/>
        <item x="189"/>
        <item x="190"/>
        <item x="191"/>
        <item x="192"/>
        <item x="193"/>
        <item x="194"/>
        <item x="195"/>
        <item x="196"/>
        <item x="197"/>
        <item x="198"/>
        <item x="199"/>
        <item x="200"/>
        <item x="201"/>
        <item x="202"/>
        <item x="204"/>
        <item x="205"/>
        <item x="206"/>
        <item x="207"/>
        <item x="208"/>
        <item x="209"/>
        <item x="210"/>
        <item x="211"/>
        <item x="212"/>
        <item x="213"/>
        <item x="214"/>
        <item x="216"/>
        <item x="217"/>
        <item x="218"/>
        <item x="219"/>
        <item x="220"/>
        <item x="221"/>
        <item x="222"/>
        <item x="223"/>
        <item x="225"/>
        <item x="226"/>
        <item x="227"/>
        <item x="228"/>
        <item x="229"/>
        <item x="230"/>
        <item x="231"/>
        <item x="233"/>
        <item x="224"/>
        <item x="203"/>
        <item x="242"/>
        <item x="232"/>
        <item x="215"/>
        <item x="235"/>
        <item x="236"/>
        <item x="237"/>
        <item x="238"/>
        <item x="239"/>
        <item x="240"/>
        <item x="241"/>
        <item x="244"/>
        <item x="243"/>
        <item x="245"/>
        <item x="246"/>
        <item x="247"/>
        <item x="248"/>
        <item x="234"/>
        <item x="249"/>
        <item x="259"/>
        <item x="258"/>
        <item x="250"/>
        <item x="252"/>
        <item x="251"/>
        <item x="253"/>
        <item x="255"/>
        <item x="263"/>
        <item x="254"/>
        <item x="256"/>
        <item x="257"/>
        <item x="265"/>
        <item x="262"/>
        <item x="261"/>
        <item x="266"/>
        <item x="264"/>
        <item x="267"/>
        <item x="268"/>
        <item x="272"/>
        <item x="273"/>
        <item x="269"/>
        <item x="274"/>
        <item x="275"/>
        <item x="270"/>
        <item x="271"/>
        <item x="284"/>
        <item x="276"/>
        <item x="277"/>
        <item x="278"/>
        <item x="279"/>
        <item x="280"/>
        <item x="281"/>
        <item x="260"/>
        <item x="282"/>
        <item x="283"/>
        <item x="285"/>
        <item x="286"/>
        <item x="287"/>
        <item x="290"/>
        <item x="289"/>
        <item x="291"/>
        <item x="292"/>
        <item x="293"/>
        <item x="294"/>
        <item x="327"/>
        <item x="328"/>
        <item x="333"/>
        <item x="295"/>
        <item x="288"/>
        <item x="296"/>
        <item x="298"/>
        <item x="299"/>
        <item x="306"/>
        <item x="329"/>
        <item x="309"/>
        <item x="311"/>
        <item x="312"/>
        <item x="302"/>
        <item x="313"/>
        <item x="315"/>
        <item x="316"/>
        <item x="317"/>
        <item x="318"/>
        <item x="319"/>
        <item x="324"/>
        <item x="323"/>
        <item x="325"/>
        <item x="326"/>
        <item x="310"/>
        <item x="320"/>
        <item x="321"/>
        <item x="330"/>
        <item x="331"/>
        <item x="332"/>
        <item x="314"/>
        <item x="334"/>
        <item x="335"/>
        <item x="336"/>
        <item x="337"/>
        <item x="338"/>
        <item x="340"/>
        <item x="341"/>
        <item x="342"/>
        <item x="339"/>
        <item x="343"/>
        <item x="344"/>
        <item x="345"/>
        <item x="346"/>
        <item x="349"/>
        <item x="347"/>
        <item x="350"/>
        <item x="352"/>
        <item x="368"/>
        <item x="369"/>
        <item x="351"/>
        <item x="300"/>
        <item x="301"/>
        <item x="303"/>
        <item x="304"/>
        <item x="308"/>
        <item x="322"/>
        <item x="305"/>
        <item x="307"/>
        <item x="356"/>
        <item x="357"/>
        <item x="358"/>
        <item x="354"/>
        <item x="355"/>
        <item x="361"/>
        <item x="359"/>
        <item x="362"/>
        <item x="363"/>
        <item x="364"/>
        <item x="365"/>
        <item x="366"/>
        <item x="353"/>
        <item x="367"/>
        <item x="370"/>
        <item x="373"/>
        <item x="374"/>
        <item x="375"/>
        <item x="372"/>
        <item x="371"/>
        <item x="377"/>
        <item x="378"/>
        <item x="379"/>
        <item x="380"/>
        <item x="381"/>
        <item x="383"/>
        <item x="348"/>
        <item x="376"/>
        <item x="396"/>
        <item x="384"/>
        <item x="385"/>
        <item x="387"/>
        <item x="388"/>
        <item x="389"/>
        <item x="390"/>
        <item x="391"/>
        <item x="382"/>
        <item x="392"/>
        <item x="393"/>
        <item x="386"/>
        <item x="395"/>
        <item x="398"/>
        <item x="399"/>
        <item x="401"/>
        <item x="402"/>
        <item x="403"/>
        <item x="404"/>
        <item x="397"/>
        <item x="400"/>
        <item x="405"/>
        <item x="406"/>
        <item x="407"/>
        <item x="410"/>
        <item x="411"/>
        <item x="413"/>
        <item x="414"/>
        <item x="415"/>
        <item x="416"/>
        <item x="417"/>
        <item x="418"/>
        <item x="419"/>
        <item x="420"/>
        <item x="408"/>
        <item x="409"/>
        <item x="423"/>
        <item x="58"/>
        <item x="412"/>
        <item x="422"/>
        <item x="432"/>
        <item x="421"/>
        <item x="433"/>
        <item x="434"/>
        <item x="426"/>
        <item x="429"/>
        <item x="430"/>
        <item x="436"/>
        <item x="425"/>
        <item x="427"/>
        <item x="431"/>
        <item x="435"/>
        <item x="424"/>
        <item x="444"/>
        <item x="439"/>
        <item x="438"/>
        <item x="440"/>
        <item x="437"/>
        <item x="441"/>
        <item x="442"/>
        <item x="428"/>
        <item x="443"/>
        <item x="446"/>
        <item x="445"/>
        <item x="447"/>
        <item x="450"/>
        <item x="451"/>
        <item x="453"/>
        <item x="454"/>
        <item x="455"/>
        <item x="448"/>
        <item x="456"/>
        <item x="457"/>
        <item x="458"/>
        <item x="462"/>
        <item x="452"/>
        <item x="460"/>
        <item x="461"/>
        <item x="468"/>
        <item x="464"/>
        <item x="463"/>
        <item x="465"/>
        <item x="469"/>
        <item x="470"/>
        <item x="449"/>
        <item x="459"/>
        <item x="472"/>
        <item x="473"/>
        <item x="474"/>
        <item x="479"/>
        <item x="482"/>
        <item x="484"/>
        <item x="483"/>
        <item x="485"/>
        <item x="486"/>
        <item x="487"/>
        <item x="466"/>
        <item x="481"/>
        <item x="477"/>
        <item x="475"/>
        <item x="488"/>
        <item x="489"/>
        <item x="476"/>
        <item x="478"/>
        <item x="480"/>
        <item x="490"/>
        <item x="491"/>
        <item x="492"/>
        <item x="493"/>
        <item x="494"/>
        <item x="495"/>
        <item x="496"/>
        <item x="497"/>
        <item x="498"/>
        <item x="499"/>
        <item x="500"/>
        <item x="501"/>
        <item x="502"/>
        <item x="503"/>
        <item x="504"/>
        <item x="505"/>
        <item x="506"/>
        <item x="507"/>
        <item x="508"/>
        <item x="360"/>
        <item x="394"/>
        <item x="471"/>
        <item x="510"/>
        <item x="512"/>
        <item x="513"/>
        <item x="514"/>
        <item x="515"/>
        <item x="516"/>
        <item x="518"/>
        <item x="0"/>
        <item x="519"/>
        <item x="520"/>
        <item x="521"/>
        <item x="517"/>
        <item x="511"/>
        <item x="509"/>
        <item x="522"/>
        <item x="523"/>
        <item x="524"/>
        <item x="525"/>
        <item x="527"/>
        <item x="528"/>
        <item x="529"/>
        <item x="542"/>
        <item x="530"/>
        <item x="531"/>
        <item x="533"/>
        <item x="536"/>
        <item x="535"/>
        <item x="532"/>
        <item x="537"/>
        <item x="534"/>
        <item x="544"/>
        <item x="539"/>
        <item x="540"/>
        <item x="526"/>
        <item x="541"/>
        <item x="538"/>
        <item x="543"/>
        <item x="545"/>
        <item x="546"/>
        <item x="547"/>
        <item x="549"/>
        <item x="548"/>
        <item x="550"/>
        <item x="551"/>
        <item x="552"/>
        <item x="554"/>
        <item x="555"/>
        <item x="556"/>
        <item x="557"/>
        <item x="560"/>
        <item x="561"/>
        <item x="553"/>
        <item x="558"/>
        <item x="564"/>
        <item x="565"/>
        <item x="559"/>
        <item x="563"/>
        <item x="579"/>
        <item x="567"/>
        <item x="568"/>
        <item x="569"/>
        <item x="571"/>
        <item x="572"/>
        <item x="570"/>
        <item x="574"/>
        <item x="575"/>
        <item x="573"/>
        <item x="577"/>
        <item x="580"/>
        <item x="581"/>
        <item x="578"/>
        <item x="582"/>
        <item x="584"/>
        <item x="585"/>
        <item x="576"/>
        <item x="586"/>
        <item x="587"/>
        <item x="297"/>
        <item x="562"/>
        <item x="566"/>
        <item x="588"/>
        <item x="590"/>
        <item x="583"/>
        <item x="592"/>
        <item x="589"/>
        <item x="591"/>
        <item x="593"/>
        <item x="594"/>
        <item x="595"/>
        <item x="596"/>
        <item x="597"/>
        <item x="598"/>
        <item x="599"/>
        <item x="600"/>
        <item x="601"/>
        <item x="602"/>
        <item x="603"/>
        <item x="604"/>
        <item x="605"/>
        <item x="608"/>
        <item x="609"/>
        <item x="606"/>
        <item x="610"/>
        <item x="611"/>
        <item x="612"/>
        <item x="613"/>
        <item x="614"/>
        <item x="615"/>
        <item x="616"/>
        <item x="607"/>
        <item x="617"/>
        <item x="622"/>
        <item x="624"/>
        <item x="618"/>
        <item x="623"/>
        <item x="619"/>
        <item x="620"/>
        <item x="629"/>
        <item x="640"/>
        <item x="627"/>
        <item x="625"/>
        <item x="621"/>
        <item x="626"/>
        <item x="628"/>
        <item x="630"/>
        <item x="631"/>
        <item x="641"/>
        <item x="634"/>
        <item x="633"/>
        <item x="643"/>
        <item x="635"/>
        <item x="636"/>
        <item x="632"/>
        <item x="642"/>
        <item x="644"/>
        <item x="638"/>
        <item x="639"/>
        <item x="645"/>
        <item x="653"/>
        <item x="646"/>
        <item x="637"/>
        <item x="650"/>
        <item x="651"/>
        <item x="660"/>
        <item x="654"/>
        <item x="656"/>
        <item x="647"/>
        <item x="657"/>
        <item x="665"/>
        <item x="658"/>
        <item x="661"/>
        <item x="648"/>
        <item x="659"/>
        <item x="652"/>
        <item x="662"/>
        <item x="664"/>
        <item x="655"/>
        <item x="649"/>
        <item x="667"/>
        <item x="666"/>
        <item x="663"/>
        <item x="671"/>
        <item x="672"/>
        <item x="673"/>
        <item x="668"/>
        <item x="669"/>
        <item x="674"/>
        <item x="675"/>
        <item x="676"/>
        <item x="677"/>
        <item x="678"/>
        <item x="679"/>
        <item x="670"/>
        <item x="686"/>
        <item x="687"/>
        <item x="681"/>
        <item x="688"/>
        <item x="689"/>
        <item x="690"/>
        <item x="692"/>
        <item x="693"/>
        <item x="694"/>
        <item x="695"/>
        <item x="713"/>
        <item x="699"/>
        <item x="696"/>
        <item x="697"/>
        <item x="698"/>
        <item x="701"/>
        <item x="702"/>
        <item x="725"/>
        <item x="700"/>
        <item x="705"/>
        <item x="707"/>
        <item x="708"/>
        <item x="709"/>
        <item x="710"/>
        <item x="711"/>
        <item x="712"/>
        <item x="715"/>
        <item x="716"/>
        <item x="718"/>
        <item x="714"/>
        <item x="719"/>
        <item x="721"/>
        <item x="722"/>
        <item x="726"/>
        <item x="727"/>
        <item x="723"/>
        <item x="724"/>
        <item x="720"/>
        <item x="728"/>
        <item x="733"/>
        <item x="729"/>
        <item x="731"/>
        <item x="736"/>
        <item x="737"/>
        <item x="743"/>
        <item x="706"/>
        <item x="734"/>
        <item x="732"/>
        <item x="739"/>
        <item x="741"/>
        <item x="742"/>
        <item x="750"/>
        <item x="738"/>
        <item x="680"/>
        <item x="682"/>
        <item x="730"/>
        <item x="683"/>
        <item x="684"/>
        <item x="685"/>
        <item x="744"/>
        <item x="745"/>
        <item x="717"/>
        <item x="691"/>
        <item x="746"/>
        <item x="747"/>
        <item x="748"/>
        <item x="749"/>
        <item x="735"/>
        <item x="751"/>
        <item x="752"/>
        <item x="753"/>
        <item x="754"/>
        <item x="755"/>
        <item x="756"/>
        <item x="757"/>
        <item x="758"/>
        <item x="759"/>
        <item x="760"/>
        <item x="761"/>
        <item x="762"/>
        <item x="782"/>
        <item x="763"/>
        <item x="764"/>
        <item x="765"/>
        <item x="766"/>
        <item x="767"/>
        <item x="768"/>
        <item x="769"/>
        <item x="770"/>
        <item x="771"/>
        <item x="779"/>
        <item x="776"/>
        <item x="772"/>
        <item x="777"/>
        <item x="773"/>
        <item x="774"/>
        <item x="780"/>
        <item x="778"/>
        <item x="775"/>
        <item x="781"/>
        <item x="783"/>
        <item x="784"/>
        <item x="785"/>
        <item x="788"/>
        <item x="790"/>
        <item x="789"/>
        <item x="786"/>
        <item x="794"/>
        <item x="796"/>
        <item x="797"/>
        <item x="798"/>
        <item x="791"/>
        <item x="795"/>
        <item x="792"/>
        <item x="800"/>
        <item x="801"/>
        <item x="787"/>
        <item x="804"/>
        <item x="803"/>
        <item x="802"/>
        <item x="805"/>
        <item x="806"/>
        <item x="807"/>
        <item x="793"/>
        <item x="808"/>
        <item x="809"/>
        <item x="810"/>
        <item x="811"/>
        <item x="812"/>
        <item x="813"/>
        <item x="799"/>
        <item m="1" x="1165"/>
        <item x="703"/>
        <item x="704"/>
        <item x="740"/>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s>
    </pivotField>
    <pivotField showAll="0" defaultSubtotal="0"/>
    <pivotField showAll="0" defaultSubtotal="0"/>
    <pivotField showAll="0" defaultSubtotal="0"/>
    <pivotField showAll="0" defaultSubtotal="0"/>
    <pivotField axis="axisRow" showAll="0" defaultSubtotal="0">
      <items count="6">
        <item x="0"/>
        <item m="1" x="5"/>
        <item x="2"/>
        <item x="1"/>
        <item x="3"/>
        <item x="4"/>
      </items>
    </pivotField>
    <pivotField showAll="0" defaultSubtotal="0"/>
    <pivotField axis="axisPage" outline="0" multipleItemSelectionAllowed="1" showAll="0" defaultSubtotal="0">
      <items count="15">
        <item x="1"/>
        <item m="1" x="11"/>
        <item m="1" x="7"/>
        <item m="1" x="10"/>
        <item m="1" x="14"/>
        <item m="1" x="6"/>
        <item m="1" x="8"/>
        <item m="1" x="9"/>
        <item m="1" x="12"/>
        <item m="1" x="13"/>
        <item m="1" x="4"/>
        <item m="1" x="5"/>
        <item x="0"/>
        <item x="2"/>
        <item x="3"/>
      </items>
    </pivotField>
    <pivotField axis="axisPage" outline="0" showAll="0" defaultSubtotal="0">
      <items count="10">
        <item m="1" x="7"/>
        <item m="1" x="5"/>
        <item m="1" x="8"/>
        <item m="1" x="6"/>
        <item m="1" x="9"/>
        <item m="1" x="3"/>
        <item m="1" x="4"/>
        <item x="0"/>
        <item x="1"/>
        <item x="2"/>
      </items>
    </pivotField>
  </pivotFields>
  <rowFields count="4">
    <field x="6"/>
    <field x="0"/>
    <field x="9"/>
    <field x="14"/>
  </rowFields>
  <rowItems count="63">
    <i>
      <x v="2"/>
    </i>
    <i r="1">
      <x v="313"/>
      <x v="30"/>
      <x/>
    </i>
    <i r="2">
      <x v="224"/>
      <x/>
    </i>
    <i r="1">
      <x v="438"/>
      <x v="390"/>
      <x/>
    </i>
    <i r="1">
      <x v="606"/>
      <x v="657"/>
      <x/>
    </i>
    <i>
      <x v="6"/>
    </i>
    <i r="1">
      <x v="151"/>
      <x v="7"/>
      <x/>
    </i>
    <i>
      <x v="9"/>
    </i>
    <i r="1">
      <x v="371"/>
      <x v="300"/>
      <x/>
    </i>
    <i r="1">
      <x v="825"/>
      <x v="958"/>
      <x/>
    </i>
    <i>
      <x v="13"/>
    </i>
    <i r="1">
      <x v="237"/>
      <x v="124"/>
      <x/>
    </i>
    <i>
      <x v="16"/>
    </i>
    <i r="1">
      <x v="571"/>
      <x v="600"/>
      <x/>
    </i>
    <i r="1">
      <x v="580"/>
      <x v="125"/>
      <x/>
    </i>
    <i r="1">
      <x v="632"/>
      <x v="125"/>
      <x/>
    </i>
    <i>
      <x v="17"/>
    </i>
    <i r="1">
      <x v="356"/>
      <x v="282"/>
      <x/>
    </i>
    <i r="1">
      <x v="392"/>
      <x v="343"/>
      <x/>
    </i>
    <i r="1">
      <x v="672"/>
      <x v="758"/>
      <x/>
    </i>
    <i>
      <x v="18"/>
    </i>
    <i r="1">
      <x v="298"/>
      <x v="200"/>
      <x/>
    </i>
    <i r="1">
      <x v="523"/>
      <x v="533"/>
      <x/>
    </i>
    <i r="1">
      <x v="631"/>
      <x v="698"/>
      <x/>
    </i>
    <i r="1">
      <x v="833"/>
      <x v="971"/>
      <x/>
    </i>
    <i>
      <x v="20"/>
    </i>
    <i r="1">
      <x v="554"/>
      <x v="567"/>
      <x/>
    </i>
    <i r="1">
      <x v="780"/>
      <x v="901"/>
      <x/>
    </i>
    <i>
      <x v="24"/>
    </i>
    <i r="1">
      <x v="193"/>
      <x v="63"/>
      <x/>
    </i>
    <i r="1">
      <x v="379"/>
      <x v="312"/>
      <x/>
    </i>
    <i>
      <x v="25"/>
    </i>
    <i r="1">
      <x v="183"/>
      <x v="47"/>
      <x/>
    </i>
    <i>
      <x v="28"/>
    </i>
    <i r="1">
      <x v="672"/>
      <x v="481"/>
      <x/>
    </i>
    <i r="1">
      <x v="733"/>
      <x v="832"/>
      <x/>
    </i>
    <i>
      <x v="29"/>
    </i>
    <i r="1">
      <x v="498"/>
      <x v="93"/>
      <x/>
    </i>
    <i>
      <x v="30"/>
    </i>
    <i r="1">
      <x v="167"/>
      <x v="9"/>
      <x/>
    </i>
    <i>
      <x v="38"/>
    </i>
    <i r="1">
      <x v="261"/>
      <x v="156"/>
      <x/>
    </i>
    <i>
      <x v="39"/>
    </i>
    <i r="1">
      <x v="482"/>
      <x v="462"/>
      <x/>
    </i>
    <i>
      <x v="42"/>
    </i>
    <i r="1">
      <x v="385"/>
      <x v="325"/>
      <x/>
    </i>
    <i>
      <x v="55"/>
    </i>
    <i r="1">
      <x v="766"/>
      <x v="876"/>
      <x/>
    </i>
    <i>
      <x v="145"/>
    </i>
    <i r="1">
      <x v="698"/>
      <x v="792"/>
      <x/>
    </i>
    <i>
      <x v="151"/>
    </i>
    <i r="1">
      <x v="725"/>
      <x v="822"/>
      <x/>
    </i>
    <i>
      <x v="189"/>
    </i>
    <i r="1">
      <x v="894"/>
      <x v="1064"/>
      <x/>
    </i>
    <i r="1">
      <x v="904"/>
      <x v="1080"/>
      <x/>
    </i>
    <i r="1">
      <x v="922"/>
      <x v="1106"/>
      <x/>
    </i>
    <i r="1">
      <x v="937"/>
      <x v="1129"/>
      <x/>
    </i>
    <i r="1">
      <x v="940"/>
      <x v="1133"/>
      <x/>
    </i>
    <i r="1">
      <x v="941"/>
      <x v="1135"/>
      <x/>
    </i>
    <i r="1">
      <x v="956"/>
      <x v="1165"/>
      <x/>
    </i>
    <i>
      <x v="196"/>
    </i>
    <i r="1">
      <x v="922"/>
      <x v="1108"/>
      <x/>
    </i>
    <i t="grand">
      <x/>
    </i>
  </rowItems>
  <colItems count="1">
    <i/>
  </colItems>
  <pageFields count="3">
    <pageField fld="17" item="7" hier="-1"/>
    <pageField fld="16" hier="-1"/>
    <pageField fld="1" item="1" hier="-1"/>
  </page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1" name="Tableau1" displayName="Tableau1" ref="A1:I139" totalsRowShown="0" headerRowDxfId="433" dataDxfId="431" headerRowBorderDxfId="432" tableBorderDxfId="430" totalsRowBorderDxfId="429">
  <autoFilter ref="A1:I139"/>
  <sortState ref="A2:H3199">
    <sortCondition ref="A1:A3199"/>
  </sortState>
  <tableColumns count="9">
    <tableColumn id="1" name="Date" dataDxfId="428"/>
    <tableColumn id="2" name="Section" dataDxfId="427">
      <calculatedColumnFormula>IF(ISNA(VLOOKUP(Tableau1[[#This Row],[Code]],'Code Véhicule'!$A$4:$C$85,2,FALSE))," ",VLOOKUP(Tableau1[[#This Row],[Code]],'Code Véhicule'!$A$4:$C$85,2,FALSE))</calculatedColumnFormula>
    </tableColumn>
    <tableColumn id="3" name="Type d'intervention" dataDxfId="426"/>
    <tableColumn id="4" name="Machine" dataDxfId="425">
      <calculatedColumnFormula>IF(ISNA(VLOOKUP(Tableau1[[#This Row],[Code]],'Code Véhicule'!$A$4:$C$85,3,FALSE))," ",VLOOKUP(Tableau1[[#This Row],[Code]],'Code Véhicule'!$A$4:$C$85,3,FALSE))</calculatedColumnFormula>
    </tableColumn>
    <tableColumn id="5" name="Code" dataDxfId="424"/>
    <tableColumn id="6" name="Partie Machine" dataDxfId="423"/>
    <tableColumn id="7" name="Intervention" dataDxfId="422"/>
    <tableColumn id="10" name="TA (min)" dataDxfId="421"/>
    <tableColumn id="8" name="Résultat" dataDxfId="420"/>
  </tableColumns>
  <tableStyleInfo name="TableStyleDark9" showFirstColumn="0" showLastColumn="0" showRowStripes="1" showColumnStripes="0"/>
</table>
</file>

<file path=xl/tables/table2.xml><?xml version="1.0" encoding="utf-8"?>
<table xmlns="http://schemas.openxmlformats.org/spreadsheetml/2006/main" id="3" name="Tableau3" displayName="Tableau3" ref="A3:D45" totalsRowShown="0" headerRowDxfId="419" dataDxfId="418">
  <autoFilter ref="A3:D45"/>
  <sortState ref="A4:D86">
    <sortCondition ref="A3:A86"/>
  </sortState>
  <tableColumns count="4">
    <tableColumn id="1" name="CODE Véhicule" dataDxfId="417"/>
    <tableColumn id="2" name="Type" dataDxfId="416"/>
    <tableColumn id="3" name="Marque" dataDxfId="415"/>
    <tableColumn id="5" name="Matricule" dataDxfId="414"/>
  </tableColumns>
  <tableStyleInfo name="TableStyleMedium16" showFirstColumn="0" showLastColumn="0" showRowStripes="1" showColumnStripes="0"/>
</table>
</file>

<file path=xl/tables/table3.xml><?xml version="1.0" encoding="utf-8"?>
<table xmlns="http://schemas.openxmlformats.org/spreadsheetml/2006/main" id="6" name="Tableau6" displayName="Tableau6" ref="Z4:AE25" totalsRowShown="0" headerRowDxfId="413" dataDxfId="412">
  <autoFilter ref="Z4:AE25"/>
  <tableColumns count="6">
    <tableColumn id="1" name="Colonne1"/>
    <tableColumn id="2" name="Colonne2" dataDxfId="411"/>
    <tableColumn id="3" name="Colonne3" dataDxfId="410"/>
    <tableColumn id="4" name="Colonne4" dataDxfId="409"/>
    <tableColumn id="5" name="Colonne5" dataDxfId="408"/>
    <tableColumn id="6" name="Colonne6" dataDxfId="407"/>
  </tableColumns>
  <tableStyleInfo name="TableStyleLight8" showFirstColumn="0" showLastColumn="0" showRowStripes="1" showColumnStripes="0"/>
</table>
</file>

<file path=xl/tables/table4.xml><?xml version="1.0" encoding="utf-8"?>
<table xmlns="http://schemas.openxmlformats.org/spreadsheetml/2006/main" id="2" name="Tableau13" displayName="Tableau13" ref="A5:R1472" totalsRowShown="0" headerRowDxfId="404" dataDxfId="403">
  <autoFilter ref="A5:R1472"/>
  <sortState ref="A6:R1411">
    <sortCondition ref="A1225"/>
  </sortState>
  <tableColumns count="18">
    <tableColumn id="1" name="Date début" dataDxfId="402" totalsRowDxfId="401"/>
    <tableColumn id="9" name="Code" dataDxfId="400" totalsRowDxfId="399"/>
    <tableColumn id="2" name="Type" dataDxfId="398" totalsRowDxfId="397">
      <calculatedColumnFormula>IF(ISNA(VLOOKUP(Tableau13[[#This Row],[Code]],'Code Véhicule'!$A$4:$C$185,2,0)),"",VLOOKUP(Tableau13[[#This Row],[Code]],'Code Véhicule'!$A$4:$C$185,2,0))</calculatedColumnFormula>
    </tableColumn>
    <tableColumn id="4" name="Véhicule" dataDxfId="396" totalsRowDxfId="395">
      <calculatedColumnFormula>IF(ISNA(VLOOKUP(Tableau13[[#This Row],[Code]],'Code Véhicule'!$A$4:$C$185,3,0)),"",VLOOKUP(Tableau13[[#This Row],[Code]],'Code Véhicule'!$A$4:$C$185,3,0))</calculatedColumnFormula>
    </tableColumn>
    <tableColumn id="15" name="Matricule" dataDxfId="394" totalsRowDxfId="393">
      <calculatedColumnFormula>IF(ISNA(VLOOKUP(Tableau13[[#This Row],[Code]],'Code Véhicule'!$A$4:$D$185,4,0))," ",VLOOKUP(Tableau13[[#This Row],[Code]],'Code Véhicule'!$A$4:$D$185,4,0))</calculatedColumnFormula>
    </tableColumn>
    <tableColumn id="19" name="N Fiche _x000a_d'intervention" dataDxfId="392" totalsRowDxfId="391"/>
    <tableColumn id="6" name="Partie véhicule" dataDxfId="390" totalsRowDxfId="389"/>
    <tableColumn id="16" name="Réclamation / problème" dataDxfId="388" totalsRowDxfId="387"/>
    <tableColumn id="3" name="Type d'intervention" dataDxfId="386" totalsRowDxfId="385"/>
    <tableColumn id="7" name="Détail Intervention" dataDxfId="384" totalsRowDxfId="383"/>
    <tableColumn id="10" name="N BS" dataDxfId="382" totalsRowDxfId="381"/>
    <tableColumn id="8" name="Temps_x000a_d'intervention (min)" dataDxfId="380" totalsRowDxfId="379" dataCellStyle="Milliers"/>
    <tableColumn id="20" name="Temps _x000a_d'arrêt _x000a_(min)" dataDxfId="378" totalsRowDxfId="377" dataCellStyle="Milliers"/>
    <tableColumn id="14" name="Date fin d'intervention" dataDxfId="376" totalsRowDxfId="375"/>
    <tableColumn id="17" name="Observations / Avancement" dataDxfId="374" totalsRowDxfId="373" dataCellStyle="Milliers"/>
    <tableColumn id="18" name="Rappel" dataDxfId="372" totalsRowDxfId="371" dataCellStyle="Milliers"/>
    <tableColumn id="11" name="Mois" dataDxfId="370" totalsRowDxfId="369">
      <calculatedColumnFormula>MONTH([1]!Tableau13[[#This Row],[Date début]])</calculatedColumnFormula>
    </tableColumn>
    <tableColumn id="12" name="An" dataDxfId="368" totalsRowDxfId="367">
      <calculatedColumnFormula>YEAR([1]!Tableau13[[#This Row],[Date début]])</calculatedColumnFormula>
    </tableColumn>
  </tableColumns>
  <tableStyleInfo name="TableStyleMedium17" showFirstColumn="0" showLastColumn="0" showRowStripes="1" showColumnStripes="0"/>
</table>
</file>

<file path=xl/tables/table5.xml><?xml version="1.0" encoding="utf-8"?>
<table xmlns="http://schemas.openxmlformats.org/spreadsheetml/2006/main" id="10" name="Tableau10" displayName="Tableau10" ref="A140:H153" totalsRowShown="0" headerRowDxfId="366" dataDxfId="364" headerRowBorderDxfId="365" tableBorderDxfId="363">
  <autoFilter ref="A140:H153"/>
  <sortState ref="A141:H153">
    <sortCondition ref="E140:E153"/>
  </sortState>
  <tableColumns count="8">
    <tableColumn id="1" name="CODE Véhicule" dataDxfId="362"/>
    <tableColumn id="3" name="Marque" dataDxfId="361"/>
    <tableColumn id="4" name="∑ temps d'arrêts" dataDxfId="360">
      <calculatedColumnFormula>IF(ISERR(GETPIVOTDATA("Somme de Temps ",$A$6,"Code",Tableau10[[#This Row],[CODE Véhicule]])),"0",GETPIVOTDATA("Somme de Temps ",$A$6,"Code",Tableau10[[#This Row],[CODE Véhicule]]))</calculatedColumnFormula>
    </tableColumn>
    <tableColumn id="5" name="Nb d'arrêt" dataDxfId="359">
      <calculatedColumnFormula>IF(ISERR(GETPIVOTDATA("Nombre de Détail Intervention",$A$6,"Code",Tableau10[[#This Row],[CODE Véhicule]])),"0",GETPIVOTDATA("Nombre de Détail Intervention",$A$6,"Code",Tableau10[[#This Row],[CODE Véhicule]]))</calculatedColumnFormula>
    </tableColumn>
    <tableColumn id="7" name="MTBF" dataDxfId="358">
      <calculatedColumnFormula>IF((540*26-Tableau10[[#This Row],[∑ temps d''arrêts]])/(Tableau10[[#This Row],[Nb d''arrêt]]+1)&lt;0,"0",(540*26-Tableau10[[#This Row],[∑ temps d''arrêts]])/(Tableau10[[#This Row],[Nb d''arrêt]]+1))</calculatedColumnFormula>
    </tableColumn>
    <tableColumn id="8" name="MTTR" dataDxfId="357">
      <calculatedColumnFormula>Tableau10[[#This Row],[∑ temps d''arrêts]]/(Tableau10[[#This Row],[Nb d''arrêt]]+1)</calculatedColumnFormula>
    </tableColumn>
    <tableColumn id="9" name="Disponibilité" dataDxfId="356">
      <calculatedColumnFormula>(Tableau10[[#This Row],[MTBF]]/(Tableau10[[#This Row],[MTBF]]+Tableau10[[#This Row],[MTTR]]))*100</calculatedColumnFormula>
    </tableColumn>
    <tableColumn id="10" name="Objectif" dataDxfId="355"/>
  </tableColumns>
  <tableStyleInfo name="TableStyleMedium2" showFirstColumn="0" showLastColumn="0" showRowStripes="1" showColumnStripes="0"/>
</table>
</file>

<file path=xl/tables/table6.xml><?xml version="1.0" encoding="utf-8"?>
<table xmlns="http://schemas.openxmlformats.org/spreadsheetml/2006/main" id="11" name="Tableau11" displayName="Tableau11" ref="A157:I167" totalsRowShown="0" headerRowDxfId="354" dataDxfId="352" headerRowBorderDxfId="353" tableBorderDxfId="351">
  <autoFilter ref="A157:I167"/>
  <sortState ref="A158:I167">
    <sortCondition ref="F157:F167"/>
  </sortState>
  <tableColumns count="9">
    <tableColumn id="1" name="CODE Véhicule" dataDxfId="350"/>
    <tableColumn id="3" name="Marque" dataDxfId="349"/>
    <tableColumn id="4" name="Matricule" dataDxfId="348"/>
    <tableColumn id="5" name="∑ temps d'arrêts" dataDxfId="347">
      <calculatedColumnFormula>IF(ISERR(GETPIVOTDATA("Somme de Temps ",$A$6,"Code",Tableau11[[#This Row],[CODE Véhicule]])),"0",GETPIVOTDATA("Somme de Temps ",$A$6,"Code",Tableau11[[#This Row],[CODE Véhicule]]))</calculatedColumnFormula>
    </tableColumn>
    <tableColumn id="6" name="Nb d'arrêt" dataDxfId="346">
      <calculatedColumnFormula>IF(ISERR(GETPIVOTDATA("Nombre de Détail Intervention",$A$6,"Code",Tableau11[[#This Row],[CODE Véhicule]])),"0",GETPIVOTDATA("Nombre de Détail Intervention",$A$6,"Code",Tableau11[[#This Row],[CODE Véhicule]]))</calculatedColumnFormula>
    </tableColumn>
    <tableColumn id="8" name="MTBF" dataDxfId="345">
      <calculatedColumnFormula>IF((540*26-Tableau11[[#This Row],[∑ temps d''arrêts]])/(Tableau11[[#This Row],[Nb d''arrêt]]+1)&lt;0,"0",(540*26-Tableau11[[#This Row],[∑ temps d''arrêts]])/(Tableau11[[#This Row],[Nb d''arrêt]]+1))</calculatedColumnFormula>
    </tableColumn>
    <tableColumn id="9" name="MTTR" dataDxfId="344">
      <calculatedColumnFormula>Tableau11[[#This Row],[∑ temps d''arrêts]]/(Tableau11[[#This Row],[Nb d''arrêt]]+1)</calculatedColumnFormula>
    </tableColumn>
    <tableColumn id="10" name="Disponibilité" dataDxfId="343">
      <calculatedColumnFormula>(Tableau11[[#This Row],[MTBF]]/(Tableau11[[#This Row],[MTBF]]+Tableau11[[#This Row],[MTTR]]))*100</calculatedColumnFormula>
    </tableColumn>
    <tableColumn id="11" name="Objectif" dataDxfId="342"/>
  </tableColumns>
  <tableStyleInfo name="TableStyleMedium2" showFirstColumn="0" showLastColumn="0" showRowStripes="1" showColumnStripes="0"/>
</table>
</file>

<file path=xl/tables/table7.xml><?xml version="1.0" encoding="utf-8"?>
<table xmlns="http://schemas.openxmlformats.org/spreadsheetml/2006/main" id="12" name="Tableau12" displayName="Tableau12" ref="A171:I177" totalsRowShown="0" headerRowDxfId="341" dataDxfId="339" headerRowBorderDxfId="340" tableBorderDxfId="338">
  <autoFilter ref="A171:I177"/>
  <tableColumns count="9">
    <tableColumn id="1" name="CODE Véhicule" dataDxfId="337"/>
    <tableColumn id="3" name="Marque" dataDxfId="336"/>
    <tableColumn id="4" name="Matricule" dataDxfId="335"/>
    <tableColumn id="5" name="∑ temps d'arrêts" dataDxfId="334">
      <calculatedColumnFormula>IF(ISERR(GETPIVOTDATA("Somme de Temps ",$A$6,"Code",Tableau12[[#This Row],[CODE Véhicule]])),"0",GETPIVOTDATA("Somme de Temps ",$A$6,"Code",Tableau12[[#This Row],[CODE Véhicule]]))</calculatedColumnFormula>
    </tableColumn>
    <tableColumn id="6" name="Nb d'arrêt" dataDxfId="333">
      <calculatedColumnFormula>IF(ISERR(GETPIVOTDATA("Nombre de Détail Intervention",$A$6,"Code",Tableau12[[#This Row],[CODE Véhicule]])),"0",GETPIVOTDATA("Nombre de Détail Intervention",$A$6,"Code",Tableau12[[#This Row],[CODE Véhicule]]))</calculatedColumnFormula>
    </tableColumn>
    <tableColumn id="8" name="MTBF" dataDxfId="332">
      <calculatedColumnFormula>IF((540*26-Tableau12[[#This Row],[∑ temps d''arrêts]])/(Tableau12[[#This Row],[Nb d''arrêt]]+1)&lt;0,"0",(540*26-Tableau12[[#This Row],[∑ temps d''arrêts]])/(Tableau12[[#This Row],[Nb d''arrêt]]+1))</calculatedColumnFormula>
    </tableColumn>
    <tableColumn id="9" name="MTTR" dataDxfId="331">
      <calculatedColumnFormula>Tableau12[[#This Row],[∑ temps d''arrêts]]/(Tableau12[[#This Row],[Nb d''arrêt]]+1)</calculatedColumnFormula>
    </tableColumn>
    <tableColumn id="10" name="Disponibilité" dataDxfId="330">
      <calculatedColumnFormula>(Tableau12[[#This Row],[MTBF]]/(Tableau12[[#This Row],[MTBF]]+Tableau12[[#This Row],[MTTR]]))*100</calculatedColumnFormula>
    </tableColumn>
    <tableColumn id="11" name="Objectif" dataDxfId="329"/>
  </tableColumns>
  <tableStyleInfo name="TableStyleMedium2" showFirstColumn="0" showLastColumn="0" showRowStripes="1" showColumnStripes="0"/>
</table>
</file>

<file path=xl/tables/table8.xml><?xml version="1.0" encoding="utf-8"?>
<table xmlns="http://schemas.openxmlformats.org/spreadsheetml/2006/main" id="4" name="Tableau35" displayName="Tableau35" ref="A7:CG19" totalsRowShown="0" headerRowDxfId="295" dataDxfId="294">
  <autoFilter ref="A7:CG19"/>
  <sortState ref="A8:CG19">
    <sortCondition ref="A7:A19"/>
  </sortState>
  <tableColumns count="85">
    <tableColumn id="1" name="Code" dataDxfId="293"/>
    <tableColumn id="2" name="Type véhicule" dataDxfId="292"/>
    <tableColumn id="3" name="Marque" dataDxfId="291"/>
    <tableColumn id="4" name="Matricule" dataDxfId="290"/>
    <tableColumn id="5" name="Compteur" dataDxfId="289"/>
    <tableColumn id="8" name="Reference" dataDxfId="288"/>
    <tableColumn id="6" name="N serie" dataDxfId="287"/>
    <tableColumn id="9" name="Date montage" dataDxfId="286"/>
    <tableColumn id="7" name="Compteur1" dataDxfId="285"/>
    <tableColumn id="10" name="KM restant" dataDxfId="284">
      <calculatedColumnFormula>80000-(Tableau35[[#This Row],[Compteur]]-Tableau35[[#This Row],[Compteur1]])</calculatedColumnFormula>
    </tableColumn>
    <tableColumn id="11" name="Reference2" dataDxfId="283"/>
    <tableColumn id="12" name="N serie3" dataDxfId="282"/>
    <tableColumn id="13" name="Date montage4" dataDxfId="281"/>
    <tableColumn id="14" name="Compteur2" dataDxfId="280"/>
    <tableColumn id="15" name="KM restant6" dataDxfId="279">
      <calculatedColumnFormula>80000-(Tableau35[[#This Row],[Compteur]]-Tableau35[[#This Row],[Compteur2]])</calculatedColumnFormula>
    </tableColumn>
    <tableColumn id="16" name="Reference3" dataDxfId="278"/>
    <tableColumn id="17" name="N serie4" dataDxfId="277"/>
    <tableColumn id="18" name="Date montage5" dataDxfId="276"/>
    <tableColumn id="19" name="Compteur3" dataDxfId="275"/>
    <tableColumn id="20" name="KM restant7" dataDxfId="274">
      <calculatedColumnFormula>80000-(Tableau35[[#This Row],[Compteur]]-Tableau35[[#This Row],[Compteur3]])</calculatedColumnFormula>
    </tableColumn>
    <tableColumn id="21" name="Reference4" dataDxfId="273"/>
    <tableColumn id="22" name="N serie5" dataDxfId="272"/>
    <tableColumn id="23" name="Date montage6" dataDxfId="271"/>
    <tableColumn id="24" name="Compteur4" dataDxfId="270"/>
    <tableColumn id="25" name="KM restant8" dataDxfId="269">
      <calculatedColumnFormula>80000-(Tableau35[[#This Row],[Compteur]]-Tableau35[[#This Row],[Compteur4]])</calculatedColumnFormula>
    </tableColumn>
    <tableColumn id="26" name="Reference5" dataDxfId="268"/>
    <tableColumn id="27" name="N serie6" dataDxfId="267"/>
    <tableColumn id="28" name="Date montage7" dataDxfId="266"/>
    <tableColumn id="29" name="Compteur5" dataDxfId="265"/>
    <tableColumn id="30" name="KM restant9" dataDxfId="264">
      <calculatedColumnFormula>80000-(Tableau35[[#This Row],[Compteur]]-Tableau35[[#This Row],[Compteur5]])</calculatedColumnFormula>
    </tableColumn>
    <tableColumn id="31" name="Reference6" dataDxfId="263"/>
    <tableColumn id="32" name="N serie7" dataDxfId="262"/>
    <tableColumn id="33" name="Date montage8" dataDxfId="261"/>
    <tableColumn id="34" name="Compteur6" dataDxfId="260"/>
    <tableColumn id="35" name="KM restant10" dataDxfId="259">
      <calculatedColumnFormula>80000-(Tableau35[[#This Row],[Compteur]]-Tableau35[[#This Row],[Compteur6]])</calculatedColumnFormula>
    </tableColumn>
    <tableColumn id="36" name="Reference7" dataDxfId="258"/>
    <tableColumn id="37" name="N serie8" dataDxfId="257"/>
    <tableColumn id="38" name="Date montage9" dataDxfId="256"/>
    <tableColumn id="39" name="Compteur7" dataDxfId="255"/>
    <tableColumn id="40" name="KM restant11" dataDxfId="254">
      <calculatedColumnFormula>80000-(Tableau35[[#This Row],[Compteur]]-Tableau35[[#This Row],[Compteur7]])</calculatedColumnFormula>
    </tableColumn>
    <tableColumn id="41" name="Reference8" dataDxfId="253"/>
    <tableColumn id="42" name="N serie9" dataDxfId="252"/>
    <tableColumn id="43" name="Date montage10" dataDxfId="251"/>
    <tableColumn id="44" name="Compteur8" dataDxfId="250"/>
    <tableColumn id="45" name="KM restant12" dataDxfId="249">
      <calculatedColumnFormula>80000-(Tableau35[[#This Row],[Compteur]]-Tableau35[[#This Row],[Compteur8]])</calculatedColumnFormula>
    </tableColumn>
    <tableColumn id="46" name="Reference9" dataDxfId="248"/>
    <tableColumn id="47" name="N serie10" dataDxfId="247"/>
    <tableColumn id="48" name="Date montage11" dataDxfId="246"/>
    <tableColumn id="49" name="Compteur9" dataDxfId="245"/>
    <tableColumn id="50" name="KM restant13" dataDxfId="244">
      <calculatedColumnFormula>80000-(Tableau35[[#This Row],[Compteur]]-Tableau35[[#This Row],[Compteur9]])</calculatedColumnFormula>
    </tableColumn>
    <tableColumn id="51" name="Reference10" dataDxfId="243"/>
    <tableColumn id="52" name="N serie11" dataDxfId="242"/>
    <tableColumn id="53" name="Date montage12" dataDxfId="241"/>
    <tableColumn id="54" name="Compteur10" dataDxfId="240"/>
    <tableColumn id="55" name="KM restant14" dataDxfId="239">
      <calculatedColumnFormula>80000-(Tableau35[[#This Row],[Compteur]]-Tableau35[[#This Row],[Compteur10]])</calculatedColumnFormula>
    </tableColumn>
    <tableColumn id="56" name="Reference11" dataDxfId="238"/>
    <tableColumn id="57" name="N serie12" dataDxfId="237"/>
    <tableColumn id="58" name="Date montage13" dataDxfId="236"/>
    <tableColumn id="59" name="Compteur11" dataDxfId="235"/>
    <tableColumn id="60" name="KM restant15" dataDxfId="234">
      <calculatedColumnFormula>80000-(Tableau35[[#This Row],[Compteur]]-Tableau35[[#This Row],[Compteur11]])</calculatedColumnFormula>
    </tableColumn>
    <tableColumn id="61" name="Reference12" dataDxfId="233"/>
    <tableColumn id="62" name="N serie13" dataDxfId="232"/>
    <tableColumn id="63" name="Date montage14" dataDxfId="231"/>
    <tableColumn id="64" name="Compteur12" dataDxfId="230"/>
    <tableColumn id="65" name="KM restant16" dataDxfId="229">
      <calculatedColumnFormula>80000-(Tableau35[[#This Row],[Compteur]]-Tableau35[[#This Row],[Compteur12]])</calculatedColumnFormula>
    </tableColumn>
    <tableColumn id="66" name="Reference13" dataDxfId="228"/>
    <tableColumn id="67" name="N serie14" dataDxfId="227"/>
    <tableColumn id="68" name="Date montage15" dataDxfId="226"/>
    <tableColumn id="69" name="Compteur13" dataDxfId="225"/>
    <tableColumn id="70" name="KM restant17" dataDxfId="224">
      <calculatedColumnFormula>80000-(Tableau35[[#This Row],[Compteur]]-Tableau35[[#This Row],[Compteur13]])</calculatedColumnFormula>
    </tableColumn>
    <tableColumn id="71" name="Reference14" dataDxfId="223"/>
    <tableColumn id="72" name="N serie15" dataDxfId="222"/>
    <tableColumn id="73" name="Date montage16" dataDxfId="221"/>
    <tableColumn id="74" name="Compteur14" dataDxfId="220"/>
    <tableColumn id="75" name="KM restant18" dataDxfId="219">
      <calculatedColumnFormula>80000-(Tableau35[[#This Row],[Compteur]]-Tableau35[[#This Row],[Compteur14]])</calculatedColumnFormula>
    </tableColumn>
    <tableColumn id="76" name="Reference15" dataDxfId="218"/>
    <tableColumn id="77" name="N serie16" dataDxfId="217"/>
    <tableColumn id="78" name="Date montage17" dataDxfId="216"/>
    <tableColumn id="79" name="CompteurS1" dataDxfId="215"/>
    <tableColumn id="80" name="KM restant19" dataDxfId="214">
      <calculatedColumnFormula>80000-(Tableau35[[#This Row],[Compteur]]-Tableau35[[#This Row],[CompteurS1]])</calculatedColumnFormula>
    </tableColumn>
    <tableColumn id="81" name="Reference16" dataDxfId="213"/>
    <tableColumn id="82" name="N serie17" dataDxfId="212"/>
    <tableColumn id="83" name="Date montage18" dataDxfId="211"/>
    <tableColumn id="84" name="CompteurS2" dataDxfId="210"/>
    <tableColumn id="85" name="KM restant20" dataDxfId="209">
      <calculatedColumnFormula>80000-(Tableau35[[#This Row],[Compteur]]-Tableau35[[#This Row],[CompteurS2]])</calculatedColumnFormula>
    </tableColumn>
  </tableColumns>
  <tableStyleInfo name="TableStyleMedium2" showFirstColumn="0" showLastColumn="0" showRowStripes="1" showColumnStripes="0"/>
</table>
</file>

<file path=xl/tables/table9.xml><?xml version="1.0" encoding="utf-8"?>
<table xmlns="http://schemas.openxmlformats.org/spreadsheetml/2006/main" id="5" name="Tableau16" displayName="Tableau16" ref="A5:T41" totalsRowShown="0" headerRowDxfId="21" dataDxfId="20">
  <autoFilter ref="A5:T41"/>
  <tableColumns count="20">
    <tableColumn id="14" name="Code Véhicule" dataDxfId="19"/>
    <tableColumn id="1" name="Type" dataDxfId="18"/>
    <tableColumn id="2" name="Marque" dataDxfId="17"/>
    <tableColumn id="3" name="Matricule" dataDxfId="16"/>
    <tableColumn id="4" name="Filtre à air" dataDxfId="15"/>
    <tableColumn id="5" name="Filtre à huile" dataDxfId="14"/>
    <tableColumn id="6" name="Filtre à gasoil" dataDxfId="13"/>
    <tableColumn id="7" name="NBH vidange" dataDxfId="12"/>
    <tableColumn id="8" name="NBH Filtre   huile - gasoil" dataDxfId="11"/>
    <tableColumn id="9" name="NBH filtre à air" dataDxfId="10"/>
    <tableColumn id="10" name="Date dérnier entretien" dataDxfId="9"/>
    <tableColumn id="11" name="Dérnière vidange" dataDxfId="8"/>
    <tableColumn id="20" name="Dernier chgt Filte huile gasoil" dataDxfId="7"/>
    <tableColumn id="21" name="Dernier chgt filtre à air" dataDxfId="6"/>
    <tableColumn id="12" name="Travaux effectués lors du dernier entretien" dataDxfId="5"/>
    <tableColumn id="13" name="Compteur Actuel" dataDxfId="4"/>
    <tableColumn id="15" name="Prochain entretien prévu" dataDxfId="3"/>
    <tableColumn id="16" name="NBH avant vidange" dataDxfId="2">
      <calculatedColumnFormula>Tableau16[[#This Row],[NBH vidange]]-(Tableau16[[#This Row],[Compteur Actuel]]-Tableau16[[#This Row],[Dérnière vidange]])</calculatedColumnFormula>
    </tableColumn>
    <tableColumn id="17" name="NBH avant filtre huile - gasoil" dataDxfId="1">
      <calculatedColumnFormula>Tableau16[[#This Row],[NBH Filtre   huile - gasoil]]-(Tableau16[[#This Row],[Compteur Actuel]]-Tableau16[[#This Row],[Dernier chgt Filte huile gasoil]])</calculatedColumnFormula>
    </tableColumn>
    <tableColumn id="18" name="NBH avant Filtre à air" dataDxfId="0">
      <calculatedColumnFormula>Tableau16[[#This Row],[NBH filtre à air]]-(Tableau16[[#This Row],[Compteur Actuel]]-Tableau16[[#This Row],[Dernier chgt filtre à air]])</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4.bin"/><Relationship Id="rId1" Type="http://schemas.openxmlformats.org/officeDocument/2006/relationships/pivotTable" Target="../pivotTables/pivotTable1.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pivotTable" Target="../pivotTables/pivotTable2.xml"/><Relationship Id="rId5" Type="http://schemas.openxmlformats.org/officeDocument/2006/relationships/table" Target="../tables/table7.xml"/><Relationship Id="rId4"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codeName="Feuil1"/>
  <dimension ref="A1:I139"/>
  <sheetViews>
    <sheetView zoomScale="85" zoomScaleNormal="85" workbookViewId="0">
      <pane xSplit="2" ySplit="1" topLeftCell="C105" activePane="bottomRight" state="frozen"/>
      <selection pane="topRight" activeCell="C1" sqref="C1"/>
      <selection pane="bottomLeft" activeCell="A2" sqref="A2"/>
      <selection pane="bottomRight" activeCell="A2" sqref="A2:A139"/>
    </sheetView>
  </sheetViews>
  <sheetFormatPr baseColWidth="10" defaultColWidth="11.42578125" defaultRowHeight="15"/>
  <cols>
    <col min="1" max="1" width="11.5703125" style="4" bestFit="1" customWidth="1"/>
    <col min="2" max="2" width="17.42578125" style="4" bestFit="1" customWidth="1"/>
    <col min="3" max="3" width="23.28515625" style="4" customWidth="1"/>
    <col min="4" max="4" width="35.7109375" style="4" customWidth="1"/>
    <col min="5" max="5" width="8.7109375" style="4" bestFit="1" customWidth="1"/>
    <col min="6" max="6" width="25.140625" style="4" bestFit="1" customWidth="1"/>
    <col min="7" max="7" width="137.5703125" style="4" bestFit="1" customWidth="1"/>
    <col min="8" max="8" width="14.85546875" style="4" customWidth="1"/>
    <col min="9" max="9" width="125" style="4" bestFit="1" customWidth="1"/>
    <col min="10" max="16384" width="11.42578125" style="4"/>
  </cols>
  <sheetData>
    <row r="1" spans="1:9" ht="18.95" customHeight="1" thickBot="1">
      <c r="A1" s="1" t="s">
        <v>0</v>
      </c>
      <c r="B1" s="2" t="s">
        <v>1</v>
      </c>
      <c r="C1" s="2" t="s">
        <v>2</v>
      </c>
      <c r="D1" s="2" t="s">
        <v>3</v>
      </c>
      <c r="E1" s="2" t="s">
        <v>4</v>
      </c>
      <c r="F1" s="2" t="s">
        <v>5</v>
      </c>
      <c r="G1" s="2" t="s">
        <v>6</v>
      </c>
      <c r="H1" s="3" t="s">
        <v>258</v>
      </c>
      <c r="I1" s="3" t="s">
        <v>7</v>
      </c>
    </row>
    <row r="2" spans="1:9" ht="18.95" customHeight="1" thickBot="1">
      <c r="A2" s="5">
        <v>43496</v>
      </c>
      <c r="B2" s="6" t="str">
        <f>IF(ISNA(VLOOKUP(Tableau1[[#This Row],[Code]],'Code Véhicule'!$A$4:$C$85,2,FALSE))," ",VLOOKUP(Tableau1[[#This Row],[Code]],'Code Véhicule'!$A$4:$C$85,2,FALSE))</f>
        <v xml:space="preserve"> </v>
      </c>
      <c r="C2" s="6" t="s">
        <v>8</v>
      </c>
      <c r="D2" s="6" t="str">
        <f>IF(ISNA(VLOOKUP(Tableau1[[#This Row],[Code]],'Code Véhicule'!$A$4:$C$85,3,FALSE))," ",VLOOKUP(Tableau1[[#This Row],[Code]],'Code Véhicule'!$A$4:$C$85,3,FALSE))</f>
        <v xml:space="preserve"> </v>
      </c>
      <c r="E2" s="6">
        <v>560</v>
      </c>
      <c r="F2" s="6" t="s">
        <v>9</v>
      </c>
      <c r="G2" s="6" t="s">
        <v>10</v>
      </c>
      <c r="H2" s="7"/>
      <c r="I2" s="7" t="s">
        <v>11</v>
      </c>
    </row>
    <row r="3" spans="1:9" ht="18.95" customHeight="1" thickBot="1">
      <c r="A3" s="5">
        <v>43496</v>
      </c>
      <c r="B3" s="6" t="str">
        <f>IF(ISNA(VLOOKUP(Tableau1[[#This Row],[Code]],'Code Véhicule'!$A$4:$C$85,2,FALSE))," ",VLOOKUP(Tableau1[[#This Row],[Code]],'Code Véhicule'!$A$4:$C$85,2,FALSE))</f>
        <v xml:space="preserve"> </v>
      </c>
      <c r="C3" s="6" t="s">
        <v>12</v>
      </c>
      <c r="D3" s="6" t="str">
        <f>IF(ISNA(VLOOKUP(Tableau1[[#This Row],[Code]],'Code Véhicule'!$A$4:$C$85,3,FALSE))," ",VLOOKUP(Tableau1[[#This Row],[Code]],'Code Véhicule'!$A$4:$C$85,3,FALSE))</f>
        <v xml:space="preserve"> </v>
      </c>
      <c r="E3" s="6">
        <v>582</v>
      </c>
      <c r="F3" s="6" t="s">
        <v>13</v>
      </c>
      <c r="G3" s="6" t="s">
        <v>14</v>
      </c>
      <c r="H3" s="14"/>
      <c r="I3" s="7" t="s">
        <v>15</v>
      </c>
    </row>
    <row r="4" spans="1:9" ht="18.95" customHeight="1" thickBot="1">
      <c r="A4" s="5">
        <v>43496</v>
      </c>
      <c r="B4" s="6" t="str">
        <f>IF(ISNA(VLOOKUP(Tableau1[[#This Row],[Code]],'Code Véhicule'!$A$4:$C$85,2,FALSE))," ",VLOOKUP(Tableau1[[#This Row],[Code]],'Code Véhicule'!$A$4:$C$85,2,FALSE))</f>
        <v xml:space="preserve"> </v>
      </c>
      <c r="C4" s="6" t="s">
        <v>16</v>
      </c>
      <c r="D4" s="6" t="str">
        <f>IF(ISNA(VLOOKUP(Tableau1[[#This Row],[Code]],'Code Véhicule'!$A$4:$C$85,3,FALSE))," ",VLOOKUP(Tableau1[[#This Row],[Code]],'Code Véhicule'!$A$4:$C$85,3,FALSE))</f>
        <v xml:space="preserve"> </v>
      </c>
      <c r="E4" s="6">
        <v>800</v>
      </c>
      <c r="F4" s="6" t="s">
        <v>17</v>
      </c>
      <c r="G4" s="6" t="s">
        <v>18</v>
      </c>
      <c r="H4" s="14"/>
      <c r="I4" s="7" t="s">
        <v>19</v>
      </c>
    </row>
    <row r="5" spans="1:9" ht="18.95" customHeight="1" thickBot="1">
      <c r="A5" s="5">
        <v>43496</v>
      </c>
      <c r="B5" s="6" t="str">
        <f>IF(ISNA(VLOOKUP(Tableau1[[#This Row],[Code]],'Code Véhicule'!$A$4:$C$85,2,FALSE))," ",VLOOKUP(Tableau1[[#This Row],[Code]],'Code Véhicule'!$A$4:$C$85,2,FALSE))</f>
        <v xml:space="preserve"> </v>
      </c>
      <c r="C5" s="6" t="s">
        <v>12</v>
      </c>
      <c r="D5" s="6" t="str">
        <f>IF(ISNA(VLOOKUP(Tableau1[[#This Row],[Code]],'Code Véhicule'!$A$4:$C$85,3,FALSE))," ",VLOOKUP(Tableau1[[#This Row],[Code]],'Code Véhicule'!$A$4:$C$85,3,FALSE))</f>
        <v xml:space="preserve"> </v>
      </c>
      <c r="E5" s="6">
        <v>700</v>
      </c>
      <c r="F5" s="6" t="s">
        <v>20</v>
      </c>
      <c r="G5" s="6" t="s">
        <v>21</v>
      </c>
      <c r="H5" s="14"/>
      <c r="I5" s="7" t="s">
        <v>22</v>
      </c>
    </row>
    <row r="6" spans="1:9" ht="18.95" customHeight="1" thickBot="1">
      <c r="A6" s="5">
        <v>43496</v>
      </c>
      <c r="B6" s="6" t="str">
        <f>IF(ISNA(VLOOKUP(Tableau1[[#This Row],[Code]],'Code Véhicule'!$A$4:$C$85,2,FALSE))," ",VLOOKUP(Tableau1[[#This Row],[Code]],'Code Véhicule'!$A$4:$C$85,2,FALSE))</f>
        <v xml:space="preserve"> </v>
      </c>
      <c r="C6" s="6" t="s">
        <v>23</v>
      </c>
      <c r="D6" s="6" t="str">
        <f>IF(ISNA(VLOOKUP(Tableau1[[#This Row],[Code]],'Code Véhicule'!$A$4:$C$85,3,FALSE))," ",VLOOKUP(Tableau1[[#This Row],[Code]],'Code Véhicule'!$A$4:$C$85,3,FALSE))</f>
        <v xml:space="preserve"> </v>
      </c>
      <c r="E6" s="6">
        <v>565</v>
      </c>
      <c r="F6" s="6" t="s">
        <v>24</v>
      </c>
      <c r="G6" s="6" t="s">
        <v>25</v>
      </c>
      <c r="H6" s="14"/>
      <c r="I6" s="7" t="s">
        <v>26</v>
      </c>
    </row>
    <row r="7" spans="1:9" ht="18.95" customHeight="1" thickBot="1">
      <c r="A7" s="5">
        <v>43496</v>
      </c>
      <c r="B7" s="6" t="str">
        <f>IF(ISNA(VLOOKUP(Tableau1[[#This Row],[Code]],'Code Véhicule'!$A$4:$C$85,2,FALSE))," ",VLOOKUP(Tableau1[[#This Row],[Code]],'Code Véhicule'!$A$4:$C$85,2,FALSE))</f>
        <v xml:space="preserve"> </v>
      </c>
      <c r="C7" s="6" t="s">
        <v>27</v>
      </c>
      <c r="D7" s="6" t="str">
        <f>IF(ISNA(VLOOKUP(Tableau1[[#This Row],[Code]],'Code Véhicule'!$A$4:$C$85,3,FALSE))," ",VLOOKUP(Tableau1[[#This Row],[Code]],'Code Véhicule'!$A$4:$C$85,3,FALSE))</f>
        <v xml:space="preserve"> </v>
      </c>
      <c r="E7" s="6">
        <v>533</v>
      </c>
      <c r="F7" s="6" t="s">
        <v>28</v>
      </c>
      <c r="G7" s="6" t="s">
        <v>29</v>
      </c>
      <c r="H7" s="14"/>
      <c r="I7" s="7" t="s">
        <v>30</v>
      </c>
    </row>
    <row r="8" spans="1:9" ht="18.95" customHeight="1" thickBot="1">
      <c r="A8" s="5">
        <v>43496</v>
      </c>
      <c r="B8" s="6" t="s">
        <v>210</v>
      </c>
      <c r="C8" s="6" t="s">
        <v>16</v>
      </c>
      <c r="D8" s="6" t="s">
        <v>31</v>
      </c>
      <c r="E8" s="6"/>
      <c r="F8" s="6" t="s">
        <v>32</v>
      </c>
      <c r="G8" s="8" t="s">
        <v>33</v>
      </c>
      <c r="H8" s="15"/>
      <c r="I8" s="7" t="s">
        <v>34</v>
      </c>
    </row>
    <row r="9" spans="1:9" ht="18.95" customHeight="1" thickBot="1">
      <c r="A9" s="5">
        <v>43497</v>
      </c>
      <c r="B9" s="6" t="str">
        <f>IF(ISNA(VLOOKUP(Tableau1[[#This Row],[Code]],'Code Véhicule'!$A$4:$C$85,2,FALSE))," ",VLOOKUP(Tableau1[[#This Row],[Code]],'Code Véhicule'!$A$4:$C$85,2,FALSE))</f>
        <v xml:space="preserve"> </v>
      </c>
      <c r="C9" s="6" t="s">
        <v>12</v>
      </c>
      <c r="D9" s="6" t="str">
        <f>IF(ISNA(VLOOKUP(Tableau1[[#This Row],[Code]],'Code Véhicule'!$A$4:$C$85,3,FALSE))," ",VLOOKUP(Tableau1[[#This Row],[Code]],'Code Véhicule'!$A$4:$C$85,3,FALSE))</f>
        <v xml:space="preserve"> </v>
      </c>
      <c r="E9" s="6">
        <v>571</v>
      </c>
      <c r="F9" s="6" t="s">
        <v>9</v>
      </c>
      <c r="G9" s="6" t="s">
        <v>35</v>
      </c>
      <c r="H9" s="14"/>
      <c r="I9" s="7" t="s">
        <v>36</v>
      </c>
    </row>
    <row r="10" spans="1:9" ht="18.95" customHeight="1" thickBot="1">
      <c r="A10" s="5">
        <v>43497</v>
      </c>
      <c r="B10" s="6" t="str">
        <f>IF(ISNA(VLOOKUP(Tableau1[[#This Row],[Code]],'Code Véhicule'!$A$4:$C$85,2,FALSE))," ",VLOOKUP(Tableau1[[#This Row],[Code]],'Code Véhicule'!$A$4:$C$85,2,FALSE))</f>
        <v xml:space="preserve"> </v>
      </c>
      <c r="C10" s="6" t="s">
        <v>23</v>
      </c>
      <c r="D10" s="6" t="str">
        <f>IF(ISNA(VLOOKUP(Tableau1[[#This Row],[Code]],'Code Véhicule'!$A$4:$C$85,3,FALSE))," ",VLOOKUP(Tableau1[[#This Row],[Code]],'Code Véhicule'!$A$4:$C$85,3,FALSE))</f>
        <v xml:space="preserve"> </v>
      </c>
      <c r="E10" s="6">
        <v>571</v>
      </c>
      <c r="F10" s="6" t="s">
        <v>24</v>
      </c>
      <c r="G10" s="6" t="s">
        <v>37</v>
      </c>
      <c r="H10" s="14"/>
      <c r="I10" s="7" t="s">
        <v>38</v>
      </c>
    </row>
    <row r="11" spans="1:9" ht="18.95" customHeight="1" thickBot="1">
      <c r="A11" s="5">
        <v>43497</v>
      </c>
      <c r="B11" s="6" t="str">
        <f>IF(ISNA(VLOOKUP(Tableau1[[#This Row],[Code]],'Code Véhicule'!$A$4:$C$85,2,FALSE))," ",VLOOKUP(Tableau1[[#This Row],[Code]],'Code Véhicule'!$A$4:$C$85,2,FALSE))</f>
        <v xml:space="preserve"> </v>
      </c>
      <c r="C11" s="6" t="s">
        <v>12</v>
      </c>
      <c r="D11" s="6" t="str">
        <f>IF(ISNA(VLOOKUP(Tableau1[[#This Row],[Code]],'Code Véhicule'!$A$4:$C$85,3,FALSE))," ",VLOOKUP(Tableau1[[#This Row],[Code]],'Code Véhicule'!$A$4:$C$85,3,FALSE))</f>
        <v xml:space="preserve"> </v>
      </c>
      <c r="E11" s="6">
        <v>700</v>
      </c>
      <c r="F11" s="6" t="s">
        <v>39</v>
      </c>
      <c r="G11" s="6" t="s">
        <v>40</v>
      </c>
      <c r="H11" s="14"/>
      <c r="I11" s="7" t="s">
        <v>41</v>
      </c>
    </row>
    <row r="12" spans="1:9" ht="18.95" customHeight="1" thickBot="1">
      <c r="A12" s="5">
        <v>43497</v>
      </c>
      <c r="B12" s="6" t="str">
        <f>IF(ISNA(VLOOKUP(Tableau1[[#This Row],[Code]],'Code Véhicule'!$A$4:$C$85,2,FALSE))," ",VLOOKUP(Tableau1[[#This Row],[Code]],'Code Véhicule'!$A$4:$C$85,2,FALSE))</f>
        <v xml:space="preserve"> </v>
      </c>
      <c r="C12" s="6" t="s">
        <v>16</v>
      </c>
      <c r="D12" s="6" t="str">
        <f>IF(ISNA(VLOOKUP(Tableau1[[#This Row],[Code]],'Code Véhicule'!$A$4:$C$85,3,FALSE))," ",VLOOKUP(Tableau1[[#This Row],[Code]],'Code Véhicule'!$A$4:$C$85,3,FALSE))</f>
        <v xml:space="preserve"> </v>
      </c>
      <c r="E12" s="6">
        <v>800</v>
      </c>
      <c r="F12" s="6" t="s">
        <v>42</v>
      </c>
      <c r="G12" s="6" t="s">
        <v>43</v>
      </c>
      <c r="H12" s="14"/>
      <c r="I12" s="7" t="s">
        <v>44</v>
      </c>
    </row>
    <row r="13" spans="1:9" ht="18.95" customHeight="1" thickBot="1">
      <c r="A13" s="5">
        <v>43497</v>
      </c>
      <c r="B13" s="6" t="str">
        <f>IF(ISNA(VLOOKUP(Tableau1[[#This Row],[Code]],'Code Véhicule'!$A$4:$C$85,2,FALSE))," ",VLOOKUP(Tableau1[[#This Row],[Code]],'Code Véhicule'!$A$4:$C$85,2,FALSE))</f>
        <v xml:space="preserve"> </v>
      </c>
      <c r="C13" s="6" t="s">
        <v>16</v>
      </c>
      <c r="D13" s="6" t="str">
        <f>IF(ISNA(VLOOKUP(Tableau1[[#This Row],[Code]],'Code Véhicule'!$A$4:$C$85,3,FALSE))," ",VLOOKUP(Tableau1[[#This Row],[Code]],'Code Véhicule'!$A$4:$C$85,3,FALSE))</f>
        <v xml:space="preserve"> </v>
      </c>
      <c r="E13" s="9">
        <v>800</v>
      </c>
      <c r="F13" s="8" t="s">
        <v>45</v>
      </c>
      <c r="G13" s="6" t="s">
        <v>46</v>
      </c>
      <c r="H13" s="14"/>
      <c r="I13" s="7" t="s">
        <v>47</v>
      </c>
    </row>
    <row r="14" spans="1:9" ht="18.95" customHeight="1" thickBot="1">
      <c r="A14" s="5">
        <v>43497</v>
      </c>
      <c r="B14" s="6" t="str">
        <f>IF(ISNA(VLOOKUP(Tableau1[[#This Row],[Code]],'Code Véhicule'!$A$4:$C$85,2,FALSE))," ",VLOOKUP(Tableau1[[#This Row],[Code]],'Code Véhicule'!$A$4:$C$85,2,FALSE))</f>
        <v xml:space="preserve"> </v>
      </c>
      <c r="C14" s="6" t="s">
        <v>12</v>
      </c>
      <c r="D14" s="6" t="str">
        <f>IF(ISNA(VLOOKUP(Tableau1[[#This Row],[Code]],'Code Véhicule'!$A$4:$C$85,3,FALSE))," ",VLOOKUP(Tableau1[[#This Row],[Code]],'Code Véhicule'!$A$4:$C$85,3,FALSE))</f>
        <v xml:space="preserve"> </v>
      </c>
      <c r="E14" s="6">
        <v>562</v>
      </c>
      <c r="F14" s="6" t="s">
        <v>48</v>
      </c>
      <c r="G14" s="6" t="s">
        <v>49</v>
      </c>
      <c r="H14" s="14"/>
      <c r="I14" s="7" t="s">
        <v>50</v>
      </c>
    </row>
    <row r="15" spans="1:9" ht="18.95" customHeight="1" thickBot="1">
      <c r="A15" s="5">
        <v>43497</v>
      </c>
      <c r="B15" s="6" t="str">
        <f>IF(ISNA(VLOOKUP(Tableau1[[#This Row],[Code]],'Code Véhicule'!$A$4:$C$85,2,FALSE))," ",VLOOKUP(Tableau1[[#This Row],[Code]],'Code Véhicule'!$A$4:$C$85,2,FALSE))</f>
        <v xml:space="preserve"> </v>
      </c>
      <c r="C15" s="6" t="s">
        <v>12</v>
      </c>
      <c r="D15" s="6" t="str">
        <f>IF(ISNA(VLOOKUP(Tableau1[[#This Row],[Code]],'Code Véhicule'!$A$4:$C$85,3,FALSE))," ",VLOOKUP(Tableau1[[#This Row],[Code]],'Code Véhicule'!$A$4:$C$85,3,FALSE))</f>
        <v xml:space="preserve"> </v>
      </c>
      <c r="E15" s="6">
        <v>565</v>
      </c>
      <c r="F15" s="6" t="s">
        <v>51</v>
      </c>
      <c r="G15" s="6" t="s">
        <v>52</v>
      </c>
      <c r="H15" s="14"/>
      <c r="I15" s="7" t="s">
        <v>53</v>
      </c>
    </row>
    <row r="16" spans="1:9" ht="18.95" customHeight="1" thickBot="1">
      <c r="A16" s="5">
        <v>43497</v>
      </c>
      <c r="B16" s="6" t="s">
        <v>209</v>
      </c>
      <c r="C16" s="6" t="s">
        <v>27</v>
      </c>
      <c r="D16" s="6" t="s">
        <v>208</v>
      </c>
      <c r="E16" s="6"/>
      <c r="F16" s="6"/>
      <c r="G16" s="6" t="s">
        <v>54</v>
      </c>
      <c r="H16" s="14"/>
      <c r="I16" s="7" t="s">
        <v>55</v>
      </c>
    </row>
    <row r="17" spans="1:9" ht="18.95" customHeight="1" thickBot="1">
      <c r="A17" s="5">
        <v>43500</v>
      </c>
      <c r="B17" s="6" t="str">
        <f>IF(ISNA(VLOOKUP(Tableau1[[#This Row],[Code]],'Code Véhicule'!$A$4:$C$85,2,FALSE))," ",VLOOKUP(Tableau1[[#This Row],[Code]],'Code Véhicule'!$A$4:$C$85,2,FALSE))</f>
        <v xml:space="preserve"> </v>
      </c>
      <c r="C17" s="6" t="s">
        <v>12</v>
      </c>
      <c r="D17" s="6" t="str">
        <f>IF(ISNA(VLOOKUP(Tableau1[[#This Row],[Code]],'Code Véhicule'!$A$4:$C$85,3,FALSE))," ",VLOOKUP(Tableau1[[#This Row],[Code]],'Code Véhicule'!$A$4:$C$85,3,FALSE))</f>
        <v xml:space="preserve"> </v>
      </c>
      <c r="E17" s="6">
        <v>800</v>
      </c>
      <c r="F17" s="6" t="s">
        <v>56</v>
      </c>
      <c r="G17" s="6" t="s">
        <v>57</v>
      </c>
      <c r="H17" s="14"/>
      <c r="I17" s="7" t="s">
        <v>58</v>
      </c>
    </row>
    <row r="18" spans="1:9" ht="18.95" customHeight="1" thickBot="1">
      <c r="A18" s="5">
        <v>43500</v>
      </c>
      <c r="B18" s="6" t="s">
        <v>210</v>
      </c>
      <c r="C18" s="6" t="s">
        <v>59</v>
      </c>
      <c r="D18" s="6" t="s">
        <v>31</v>
      </c>
      <c r="E18" s="6"/>
      <c r="F18" s="6" t="s">
        <v>32</v>
      </c>
      <c r="G18" s="6" t="s">
        <v>60</v>
      </c>
      <c r="H18" s="14"/>
      <c r="I18" s="7" t="s">
        <v>61</v>
      </c>
    </row>
    <row r="19" spans="1:9" ht="18.95" customHeight="1" thickBot="1">
      <c r="A19" s="5">
        <v>43500</v>
      </c>
      <c r="B19" s="6" t="str">
        <f>IF(ISNA(VLOOKUP(Tableau1[[#This Row],[Code]],'Code Véhicule'!$A$4:$C$85,2,FALSE))," ",VLOOKUP(Tableau1[[#This Row],[Code]],'Code Véhicule'!$A$4:$C$85,2,FALSE))</f>
        <v xml:space="preserve"> </v>
      </c>
      <c r="C19" s="6" t="s">
        <v>12</v>
      </c>
      <c r="D19" s="6" t="str">
        <f>IF(ISNA(VLOOKUP(Tableau1[[#This Row],[Code]],'Code Véhicule'!$A$4:$C$85,3,FALSE))," ",VLOOKUP(Tableau1[[#This Row],[Code]],'Code Véhicule'!$A$4:$C$85,3,FALSE))</f>
        <v xml:space="preserve"> </v>
      </c>
      <c r="E19" s="6">
        <v>581</v>
      </c>
      <c r="F19" s="6" t="s">
        <v>62</v>
      </c>
      <c r="G19" s="6" t="s">
        <v>63</v>
      </c>
      <c r="H19" s="14"/>
      <c r="I19" s="7" t="s">
        <v>64</v>
      </c>
    </row>
    <row r="20" spans="1:9" ht="18.95" customHeight="1" thickBot="1">
      <c r="A20" s="5">
        <v>43500</v>
      </c>
      <c r="B20" s="6" t="str">
        <f>IF(ISNA(VLOOKUP(Tableau1[[#This Row],[Code]],'Code Véhicule'!$A$4:$C$85,2,FALSE))," ",VLOOKUP(Tableau1[[#This Row],[Code]],'Code Véhicule'!$A$4:$C$85,2,FALSE))</f>
        <v xml:space="preserve"> </v>
      </c>
      <c r="C20" s="6" t="s">
        <v>12</v>
      </c>
      <c r="D20" s="6" t="str">
        <f>IF(ISNA(VLOOKUP(Tableau1[[#This Row],[Code]],'Code Véhicule'!$A$4:$C$85,3,FALSE))," ",VLOOKUP(Tableau1[[#This Row],[Code]],'Code Véhicule'!$A$4:$C$85,3,FALSE))</f>
        <v xml:space="preserve"> </v>
      </c>
      <c r="E20" s="6">
        <v>580</v>
      </c>
      <c r="F20" s="6" t="s">
        <v>65</v>
      </c>
      <c r="G20" s="6" t="s">
        <v>66</v>
      </c>
      <c r="H20" s="14"/>
      <c r="I20" s="7"/>
    </row>
    <row r="21" spans="1:9" ht="18.95" customHeight="1" thickBot="1">
      <c r="A21" s="5">
        <v>43500</v>
      </c>
      <c r="B21" s="6" t="str">
        <f>IF(ISNA(VLOOKUP(Tableau1[[#This Row],[Code]],'Code Véhicule'!$A$4:$C$85,2,FALSE))," ",VLOOKUP(Tableau1[[#This Row],[Code]],'Code Véhicule'!$A$4:$C$85,2,FALSE))</f>
        <v xml:space="preserve"> </v>
      </c>
      <c r="C21" s="6" t="s">
        <v>16</v>
      </c>
      <c r="D21" s="6" t="str">
        <f>IF(ISNA(VLOOKUP(Tableau1[[#This Row],[Code]],'Code Véhicule'!$A$4:$C$85,3,FALSE))," ",VLOOKUP(Tableau1[[#This Row],[Code]],'Code Véhicule'!$A$4:$C$85,3,FALSE))</f>
        <v xml:space="preserve"> </v>
      </c>
      <c r="E21" s="6">
        <v>533</v>
      </c>
      <c r="F21" s="6" t="s">
        <v>28</v>
      </c>
      <c r="G21" s="6" t="s">
        <v>67</v>
      </c>
      <c r="H21" s="14"/>
      <c r="I21" s="7" t="s">
        <v>68</v>
      </c>
    </row>
    <row r="22" spans="1:9" ht="18.95" customHeight="1" thickBot="1">
      <c r="A22" s="5">
        <v>43500</v>
      </c>
      <c r="B22" s="6" t="str">
        <f>IF(ISNA(VLOOKUP(Tableau1[[#This Row],[Code]],'Code Véhicule'!$A$4:$C$85,2,FALSE))," ",VLOOKUP(Tableau1[[#This Row],[Code]],'Code Véhicule'!$A$4:$C$85,2,FALSE))</f>
        <v xml:space="preserve"> </v>
      </c>
      <c r="C22" s="6" t="s">
        <v>8</v>
      </c>
      <c r="D22" s="6" t="str">
        <f>IF(ISNA(VLOOKUP(Tableau1[[#This Row],[Code]],'Code Véhicule'!$A$4:$C$85,3,FALSE))," ",VLOOKUP(Tableau1[[#This Row],[Code]],'Code Véhicule'!$A$4:$C$85,3,FALSE))</f>
        <v xml:space="preserve"> </v>
      </c>
      <c r="E22" s="6">
        <v>607</v>
      </c>
      <c r="F22" s="6" t="s">
        <v>69</v>
      </c>
      <c r="G22" s="6" t="s">
        <v>70</v>
      </c>
      <c r="H22" s="14"/>
      <c r="I22" s="7" t="s">
        <v>71</v>
      </c>
    </row>
    <row r="23" spans="1:9" ht="18.95" customHeight="1" thickBot="1">
      <c r="A23" s="5">
        <v>43500</v>
      </c>
      <c r="B23" s="6" t="str">
        <f>IF(ISNA(VLOOKUP(Tableau1[[#This Row],[Code]],'Code Véhicule'!$A$4:$C$85,2,FALSE))," ",VLOOKUP(Tableau1[[#This Row],[Code]],'Code Véhicule'!$A$4:$C$85,2,FALSE))</f>
        <v xml:space="preserve"> </v>
      </c>
      <c r="C23" s="6" t="s">
        <v>8</v>
      </c>
      <c r="D23" s="6" t="str">
        <f>IF(ISNA(VLOOKUP(Tableau1[[#This Row],[Code]],'Code Véhicule'!$A$4:$C$85,3,FALSE))," ",VLOOKUP(Tableau1[[#This Row],[Code]],'Code Véhicule'!$A$4:$C$85,3,FALSE))</f>
        <v xml:space="preserve"> </v>
      </c>
      <c r="E23" s="6">
        <v>605</v>
      </c>
      <c r="F23" s="6" t="s">
        <v>72</v>
      </c>
      <c r="G23" s="6" t="s">
        <v>73</v>
      </c>
      <c r="H23" s="14"/>
      <c r="I23" s="7" t="s">
        <v>71</v>
      </c>
    </row>
    <row r="24" spans="1:9" ht="18.95" customHeight="1" thickBot="1">
      <c r="A24" s="5">
        <v>43500</v>
      </c>
      <c r="B24" s="6" t="str">
        <f>IF(ISNA(VLOOKUP(Tableau1[[#This Row],[Code]],'Code Véhicule'!$A$4:$C$85,2,FALSE))," ",VLOOKUP(Tableau1[[#This Row],[Code]],'Code Véhicule'!$A$4:$C$85,2,FALSE))</f>
        <v xml:space="preserve"> </v>
      </c>
      <c r="C24" s="6" t="s">
        <v>12</v>
      </c>
      <c r="D24" s="6" t="str">
        <f>IF(ISNA(VLOOKUP(Tableau1[[#This Row],[Code]],'Code Véhicule'!$A$4:$C$85,3,FALSE))," ",VLOOKUP(Tableau1[[#This Row],[Code]],'Code Véhicule'!$A$4:$C$85,3,FALSE))</f>
        <v xml:space="preserve"> </v>
      </c>
      <c r="E24" s="6">
        <v>568</v>
      </c>
      <c r="F24" s="6" t="s">
        <v>74</v>
      </c>
      <c r="G24" s="6" t="s">
        <v>75</v>
      </c>
      <c r="H24" s="14"/>
      <c r="I24" s="7" t="s">
        <v>76</v>
      </c>
    </row>
    <row r="25" spans="1:9" ht="18.95" customHeight="1" thickBot="1">
      <c r="A25" s="5">
        <v>43501</v>
      </c>
      <c r="B25" s="6" t="str">
        <f>IF(ISNA(VLOOKUP(Tableau1[[#This Row],[Code]],'Code Véhicule'!$A$4:$C$85,2,FALSE))," ",VLOOKUP(Tableau1[[#This Row],[Code]],'Code Véhicule'!$A$4:$C$85,2,FALSE))</f>
        <v xml:space="preserve"> </v>
      </c>
      <c r="C25" s="6" t="s">
        <v>23</v>
      </c>
      <c r="D25" s="6" t="str">
        <f>IF(ISNA(VLOOKUP(Tableau1[[#This Row],[Code]],'Code Véhicule'!$A$4:$C$85,3,FALSE))," ",VLOOKUP(Tableau1[[#This Row],[Code]],'Code Véhicule'!$A$4:$C$85,3,FALSE))</f>
        <v xml:space="preserve"> </v>
      </c>
      <c r="E25" s="6">
        <v>571</v>
      </c>
      <c r="F25" s="6" t="s">
        <v>24</v>
      </c>
      <c r="G25" s="6" t="s">
        <v>77</v>
      </c>
      <c r="H25" s="14"/>
      <c r="I25" s="7" t="s">
        <v>78</v>
      </c>
    </row>
    <row r="26" spans="1:9" ht="18.95" customHeight="1" thickBot="1">
      <c r="A26" s="5">
        <v>43501</v>
      </c>
      <c r="B26" s="6" t="str">
        <f>IF(ISNA(VLOOKUP(Tableau1[[#This Row],[Code]],'Code Véhicule'!$A$4:$C$85,2,FALSE))," ",VLOOKUP(Tableau1[[#This Row],[Code]],'Code Véhicule'!$A$4:$C$85,2,FALSE))</f>
        <v xml:space="preserve"> </v>
      </c>
      <c r="C26" s="6" t="s">
        <v>12</v>
      </c>
      <c r="D26" s="6" t="str">
        <f>IF(ISNA(VLOOKUP(Tableau1[[#This Row],[Code]],'Code Véhicule'!$A$4:$C$85,3,FALSE))," ",VLOOKUP(Tableau1[[#This Row],[Code]],'Code Véhicule'!$A$4:$C$85,3,FALSE))</f>
        <v xml:space="preserve"> </v>
      </c>
      <c r="E26" s="6">
        <v>560</v>
      </c>
      <c r="F26" s="6" t="s">
        <v>51</v>
      </c>
      <c r="G26" s="6" t="s">
        <v>52</v>
      </c>
      <c r="H26" s="14"/>
      <c r="I26" s="7" t="s">
        <v>79</v>
      </c>
    </row>
    <row r="27" spans="1:9" ht="18.95" customHeight="1" thickBot="1">
      <c r="A27" s="5">
        <v>43501</v>
      </c>
      <c r="B27" s="6" t="str">
        <f>IF(ISNA(VLOOKUP(Tableau1[[#This Row],[Code]],'Code Véhicule'!$A$4:$C$85,2,FALSE))," ",VLOOKUP(Tableau1[[#This Row],[Code]],'Code Véhicule'!$A$4:$C$85,2,FALSE))</f>
        <v xml:space="preserve"> </v>
      </c>
      <c r="C27" s="6" t="s">
        <v>12</v>
      </c>
      <c r="D27" s="6" t="str">
        <f>IF(ISNA(VLOOKUP(Tableau1[[#This Row],[Code]],'Code Véhicule'!$A$4:$C$85,3,FALSE))," ",VLOOKUP(Tableau1[[#This Row],[Code]],'Code Véhicule'!$A$4:$C$85,3,FALSE))</f>
        <v xml:space="preserve"> </v>
      </c>
      <c r="E27" s="9">
        <v>700</v>
      </c>
      <c r="F27" s="6" t="s">
        <v>39</v>
      </c>
      <c r="G27" s="6" t="s">
        <v>80</v>
      </c>
      <c r="H27" s="14"/>
      <c r="I27" s="7" t="s">
        <v>81</v>
      </c>
    </row>
    <row r="28" spans="1:9" ht="18.95" customHeight="1" thickBot="1">
      <c r="A28" s="5">
        <v>43501</v>
      </c>
      <c r="B28" s="6" t="str">
        <f>IF(ISNA(VLOOKUP(Tableau1[[#This Row],[Code]],'Code Véhicule'!$A$4:$C$85,2,FALSE))," ",VLOOKUP(Tableau1[[#This Row],[Code]],'Code Véhicule'!$A$4:$C$85,2,FALSE))</f>
        <v xml:space="preserve"> </v>
      </c>
      <c r="C28" s="6" t="s">
        <v>12</v>
      </c>
      <c r="D28" s="6" t="str">
        <f>IF(ISNA(VLOOKUP(Tableau1[[#This Row],[Code]],'Code Véhicule'!$A$4:$C$85,3,FALSE))," ",VLOOKUP(Tableau1[[#This Row],[Code]],'Code Véhicule'!$A$4:$C$85,3,FALSE))</f>
        <v xml:space="preserve"> </v>
      </c>
      <c r="E28" s="6">
        <v>562</v>
      </c>
      <c r="F28" s="6" t="s">
        <v>48</v>
      </c>
      <c r="G28" s="6" t="s">
        <v>82</v>
      </c>
      <c r="H28" s="14"/>
      <c r="I28" s="7" t="s">
        <v>76</v>
      </c>
    </row>
    <row r="29" spans="1:9" ht="18.95" customHeight="1" thickBot="1">
      <c r="A29" s="5">
        <v>43501</v>
      </c>
      <c r="B29" s="6" t="str">
        <f>IF(ISNA(VLOOKUP(Tableau1[[#This Row],[Code]],'Code Véhicule'!$A$4:$C$85,2,FALSE))," ",VLOOKUP(Tableau1[[#This Row],[Code]],'Code Véhicule'!$A$4:$C$85,2,FALSE))</f>
        <v xml:space="preserve"> </v>
      </c>
      <c r="C29" s="6" t="s">
        <v>12</v>
      </c>
      <c r="D29" s="6" t="str">
        <f>IF(ISNA(VLOOKUP(Tableau1[[#This Row],[Code]],'Code Véhicule'!$A$4:$C$85,3,FALSE))," ",VLOOKUP(Tableau1[[#This Row],[Code]],'Code Véhicule'!$A$4:$C$85,3,FALSE))</f>
        <v xml:space="preserve"> </v>
      </c>
      <c r="E29" s="6">
        <v>580</v>
      </c>
      <c r="F29" s="6" t="s">
        <v>51</v>
      </c>
      <c r="G29" s="6" t="s">
        <v>83</v>
      </c>
      <c r="H29" s="14"/>
      <c r="I29" s="7" t="s">
        <v>84</v>
      </c>
    </row>
    <row r="30" spans="1:9" ht="18.95" customHeight="1" thickBot="1">
      <c r="A30" s="5">
        <v>43501</v>
      </c>
      <c r="B30" s="6" t="str">
        <f>IF(ISNA(VLOOKUP(Tableau1[[#This Row],[Code]],'Code Véhicule'!$A$4:$C$85,2,FALSE))," ",VLOOKUP(Tableau1[[#This Row],[Code]],'Code Véhicule'!$A$4:$C$85,2,FALSE))</f>
        <v xml:space="preserve"> </v>
      </c>
      <c r="C30" s="6" t="s">
        <v>12</v>
      </c>
      <c r="D30" s="6" t="str">
        <f>IF(ISNA(VLOOKUP(Tableau1[[#This Row],[Code]],'Code Véhicule'!$A$4:$C$85,3,FALSE))," ",VLOOKUP(Tableau1[[#This Row],[Code]],'Code Véhicule'!$A$4:$C$85,3,FALSE))</f>
        <v xml:space="preserve"> </v>
      </c>
      <c r="E30" s="6">
        <v>581</v>
      </c>
      <c r="F30" s="6" t="s">
        <v>62</v>
      </c>
      <c r="G30" s="6" t="s">
        <v>85</v>
      </c>
      <c r="H30" s="14"/>
      <c r="I30" s="7" t="s">
        <v>15</v>
      </c>
    </row>
    <row r="31" spans="1:9" ht="18.95" customHeight="1" thickBot="1">
      <c r="A31" s="5">
        <v>43501</v>
      </c>
      <c r="B31" s="6" t="s">
        <v>209</v>
      </c>
      <c r="C31" s="6" t="s">
        <v>86</v>
      </c>
      <c r="D31" s="6" t="str">
        <f>IF(ISNA(VLOOKUP(Tableau1[[#This Row],[Code]],'Code Véhicule'!$A$4:$C$85,3,FALSE))," ",VLOOKUP(Tableau1[[#This Row],[Code]],'Code Véhicule'!$A$4:$C$85,3,FALSE))</f>
        <v xml:space="preserve"> </v>
      </c>
      <c r="E31" s="6"/>
      <c r="F31" s="6"/>
      <c r="G31" s="6" t="s">
        <v>87</v>
      </c>
      <c r="H31" s="14"/>
      <c r="I31" s="7" t="s">
        <v>88</v>
      </c>
    </row>
    <row r="32" spans="1:9" ht="18.95" customHeight="1" thickBot="1">
      <c r="A32" s="5">
        <v>43502</v>
      </c>
      <c r="B32" s="6" t="str">
        <f>IF(ISNA(VLOOKUP(Tableau1[[#This Row],[Code]],'Code Véhicule'!$A$4:$C$85,2,FALSE))," ",VLOOKUP(Tableau1[[#This Row],[Code]],'Code Véhicule'!$A$4:$C$85,2,FALSE))</f>
        <v xml:space="preserve"> </v>
      </c>
      <c r="C32" s="6" t="s">
        <v>12</v>
      </c>
      <c r="D32" s="6" t="str">
        <f>IF(ISNA(VLOOKUP(Tableau1[[#This Row],[Code]],'Code Véhicule'!$A$4:$C$85,3,FALSE))," ",VLOOKUP(Tableau1[[#This Row],[Code]],'Code Véhicule'!$A$4:$C$85,3,FALSE))</f>
        <v xml:space="preserve"> </v>
      </c>
      <c r="E32" s="6">
        <v>605</v>
      </c>
      <c r="F32" s="6" t="s">
        <v>89</v>
      </c>
      <c r="G32" s="6" t="s">
        <v>90</v>
      </c>
      <c r="H32" s="14"/>
      <c r="I32" s="7" t="s">
        <v>71</v>
      </c>
    </row>
    <row r="33" spans="1:9" ht="18.95" customHeight="1" thickBot="1">
      <c r="A33" s="5">
        <v>43502</v>
      </c>
      <c r="B33" s="6" t="str">
        <f>IF(ISNA(VLOOKUP(Tableau1[[#This Row],[Code]],'Code Véhicule'!$A$4:$C$85,2,FALSE))," ",VLOOKUP(Tableau1[[#This Row],[Code]],'Code Véhicule'!$A$4:$C$85,2,FALSE))</f>
        <v xml:space="preserve"> </v>
      </c>
      <c r="C33" s="6" t="s">
        <v>12</v>
      </c>
      <c r="D33" s="6" t="str">
        <f>IF(ISNA(VLOOKUP(Tableau1[[#This Row],[Code]],'Code Véhicule'!$A$4:$C$85,3,FALSE))," ",VLOOKUP(Tableau1[[#This Row],[Code]],'Code Véhicule'!$A$4:$C$85,3,FALSE))</f>
        <v xml:space="preserve"> </v>
      </c>
      <c r="E33" s="6">
        <v>565</v>
      </c>
      <c r="F33" s="6" t="s">
        <v>91</v>
      </c>
      <c r="G33" s="6" t="s">
        <v>92</v>
      </c>
      <c r="H33" s="14"/>
      <c r="I33" s="7" t="s">
        <v>71</v>
      </c>
    </row>
    <row r="34" spans="1:9" ht="18.95" customHeight="1" thickBot="1">
      <c r="A34" s="5">
        <v>43502</v>
      </c>
      <c r="B34" s="6" t="str">
        <f>IF(ISNA(VLOOKUP(Tableau1[[#This Row],[Code]],'Code Véhicule'!$A$4:$C$85,2,FALSE))," ",VLOOKUP(Tableau1[[#This Row],[Code]],'Code Véhicule'!$A$4:$C$85,2,FALSE))</f>
        <v xml:space="preserve"> </v>
      </c>
      <c r="C34" s="6" t="s">
        <v>12</v>
      </c>
      <c r="D34" s="6" t="str">
        <f>IF(ISNA(VLOOKUP(Tableau1[[#This Row],[Code]],'Code Véhicule'!$A$4:$C$85,3,FALSE))," ",VLOOKUP(Tableau1[[#This Row],[Code]],'Code Véhicule'!$A$4:$C$85,3,FALSE))</f>
        <v xml:space="preserve"> </v>
      </c>
      <c r="E34" s="6">
        <v>581</v>
      </c>
      <c r="F34" s="6" t="s">
        <v>93</v>
      </c>
      <c r="G34" s="6" t="s">
        <v>94</v>
      </c>
      <c r="H34" s="14"/>
      <c r="I34" s="7" t="s">
        <v>15</v>
      </c>
    </row>
    <row r="35" spans="1:9" ht="18.95" customHeight="1" thickBot="1">
      <c r="A35" s="5">
        <v>43502</v>
      </c>
      <c r="B35" s="6" t="str">
        <f>IF(ISNA(VLOOKUP(Tableau1[[#This Row],[Code]],'Code Véhicule'!$A$4:$C$85,2,FALSE))," ",VLOOKUP(Tableau1[[#This Row],[Code]],'Code Véhicule'!$A$4:$C$85,2,FALSE))</f>
        <v xml:space="preserve"> </v>
      </c>
      <c r="C35" s="6" t="s">
        <v>95</v>
      </c>
      <c r="D35" s="6" t="str">
        <f>IF(ISNA(VLOOKUP(Tableau1[[#This Row],[Code]],'Code Véhicule'!$A$4:$C$85,3,FALSE))," ",VLOOKUP(Tableau1[[#This Row],[Code]],'Code Véhicule'!$A$4:$C$85,3,FALSE))</f>
        <v xml:space="preserve"> </v>
      </c>
      <c r="E35" s="6">
        <v>533</v>
      </c>
      <c r="F35" s="6" t="s">
        <v>28</v>
      </c>
      <c r="G35" s="6" t="s">
        <v>96</v>
      </c>
      <c r="H35" s="14"/>
      <c r="I35" s="7" t="s">
        <v>97</v>
      </c>
    </row>
    <row r="36" spans="1:9" ht="18.95" customHeight="1" thickBot="1">
      <c r="A36" s="5">
        <v>43502</v>
      </c>
      <c r="B36" s="6" t="str">
        <f>IF(ISNA(VLOOKUP(Tableau1[[#This Row],[Code]],'Code Véhicule'!$A$4:$C$85,2,FALSE))," ",VLOOKUP(Tableau1[[#This Row],[Code]],'Code Véhicule'!$A$4:$C$85,2,FALSE))</f>
        <v xml:space="preserve"> </v>
      </c>
      <c r="C36" s="6" t="s">
        <v>12</v>
      </c>
      <c r="D36" s="6" t="str">
        <f>IF(ISNA(VLOOKUP(Tableau1[[#This Row],[Code]],'Code Véhicule'!$A$4:$C$85,3,FALSE))," ",VLOOKUP(Tableau1[[#This Row],[Code]],'Code Véhicule'!$A$4:$C$85,3,FALSE))</f>
        <v xml:space="preserve"> </v>
      </c>
      <c r="E36" s="6">
        <v>560</v>
      </c>
      <c r="F36" s="6" t="s">
        <v>98</v>
      </c>
      <c r="G36" s="6" t="s">
        <v>99</v>
      </c>
      <c r="H36" s="14"/>
      <c r="I36" s="7" t="s">
        <v>100</v>
      </c>
    </row>
    <row r="37" spans="1:9" ht="18.95" customHeight="1" thickBot="1">
      <c r="A37" s="5">
        <v>43502</v>
      </c>
      <c r="B37" s="6" t="str">
        <f>IF(ISNA(VLOOKUP(Tableau1[[#This Row],[Code]],'Code Véhicule'!$A$4:$C$85,2,FALSE))," ",VLOOKUP(Tableau1[[#This Row],[Code]],'Code Véhicule'!$A$4:$C$85,2,FALSE))</f>
        <v xml:space="preserve"> </v>
      </c>
      <c r="C37" s="6" t="s">
        <v>101</v>
      </c>
      <c r="D37" s="6" t="str">
        <f>IF(ISNA(VLOOKUP(Tableau1[[#This Row],[Code]],'Code Véhicule'!$A$4:$C$85,3,FALSE))," ",VLOOKUP(Tableau1[[#This Row],[Code]],'Code Véhicule'!$A$4:$C$85,3,FALSE))</f>
        <v xml:space="preserve"> </v>
      </c>
      <c r="E37" s="6">
        <v>560</v>
      </c>
      <c r="F37" s="6" t="s">
        <v>51</v>
      </c>
      <c r="G37" s="6" t="s">
        <v>102</v>
      </c>
      <c r="H37" s="14"/>
      <c r="I37" s="7" t="s">
        <v>103</v>
      </c>
    </row>
    <row r="38" spans="1:9" ht="18.95" customHeight="1" thickBot="1">
      <c r="A38" s="5">
        <v>43502</v>
      </c>
      <c r="B38" s="6" t="str">
        <f>IF(ISNA(VLOOKUP(Tableau1[[#This Row],[Code]],'Code Véhicule'!$A$4:$C$85,2,FALSE))," ",VLOOKUP(Tableau1[[#This Row],[Code]],'Code Véhicule'!$A$4:$C$85,2,FALSE))</f>
        <v xml:space="preserve"> </v>
      </c>
      <c r="C38" s="6" t="s">
        <v>12</v>
      </c>
      <c r="D38" s="6" t="str">
        <f>IF(ISNA(VLOOKUP(Tableau1[[#This Row],[Code]],'Code Véhicule'!$A$4:$C$85,3,FALSE))," ",VLOOKUP(Tableau1[[#This Row],[Code]],'Code Véhicule'!$A$4:$C$85,3,FALSE))</f>
        <v xml:space="preserve"> </v>
      </c>
      <c r="E38" s="6">
        <v>800</v>
      </c>
      <c r="F38" s="6" t="s">
        <v>104</v>
      </c>
      <c r="G38" s="6" t="s">
        <v>105</v>
      </c>
      <c r="H38" s="14"/>
      <c r="I38" s="7" t="s">
        <v>106</v>
      </c>
    </row>
    <row r="39" spans="1:9" ht="18.95" customHeight="1" thickBot="1">
      <c r="A39" s="5">
        <v>43503</v>
      </c>
      <c r="B39" s="6" t="str">
        <f>IF(ISNA(VLOOKUP(Tableau1[[#This Row],[Code]],'Code Véhicule'!$A$4:$C$85,2,FALSE))," ",VLOOKUP(Tableau1[[#This Row],[Code]],'Code Véhicule'!$A$4:$C$85,2,FALSE))</f>
        <v xml:space="preserve"> </v>
      </c>
      <c r="C39" s="6" t="s">
        <v>12</v>
      </c>
      <c r="D39" s="6" t="str">
        <f>IF(ISNA(VLOOKUP(Tableau1[[#This Row],[Code]],'Code Véhicule'!$A$4:$C$85,3,FALSE))," ",VLOOKUP(Tableau1[[#This Row],[Code]],'Code Véhicule'!$A$4:$C$85,3,FALSE))</f>
        <v xml:space="preserve"> </v>
      </c>
      <c r="E39" s="6">
        <v>565</v>
      </c>
      <c r="F39" s="6" t="s">
        <v>91</v>
      </c>
      <c r="G39" s="6" t="s">
        <v>107</v>
      </c>
      <c r="H39" s="14"/>
      <c r="I39" s="7" t="s">
        <v>106</v>
      </c>
    </row>
    <row r="40" spans="1:9" ht="18.95" customHeight="1" thickBot="1">
      <c r="A40" s="5">
        <v>43503</v>
      </c>
      <c r="B40" s="6" t="str">
        <f>IF(ISNA(VLOOKUP(Tableau1[[#This Row],[Code]],'Code Véhicule'!$A$4:$C$85,2,FALSE))," ",VLOOKUP(Tableau1[[#This Row],[Code]],'Code Véhicule'!$A$4:$C$85,2,FALSE))</f>
        <v xml:space="preserve"> </v>
      </c>
      <c r="C40" s="6" t="s">
        <v>12</v>
      </c>
      <c r="D40" s="6" t="str">
        <f>IF(ISNA(VLOOKUP(Tableau1[[#This Row],[Code]],'Code Véhicule'!$A$4:$C$85,3,FALSE))," ",VLOOKUP(Tableau1[[#This Row],[Code]],'Code Véhicule'!$A$4:$C$85,3,FALSE))</f>
        <v xml:space="preserve"> </v>
      </c>
      <c r="E40" s="6">
        <v>571</v>
      </c>
      <c r="F40" s="6" t="s">
        <v>9</v>
      </c>
      <c r="G40" s="6" t="s">
        <v>108</v>
      </c>
      <c r="H40" s="14"/>
      <c r="I40" s="7" t="s">
        <v>109</v>
      </c>
    </row>
    <row r="41" spans="1:9" ht="18.95" customHeight="1" thickBot="1">
      <c r="A41" s="5">
        <v>43503</v>
      </c>
      <c r="B41" s="6" t="str">
        <f>IF(ISNA(VLOOKUP(Tableau1[[#This Row],[Code]],'Code Véhicule'!$A$4:$C$85,2,FALSE))," ",VLOOKUP(Tableau1[[#This Row],[Code]],'Code Véhicule'!$A$4:$C$85,2,FALSE))</f>
        <v xml:space="preserve"> </v>
      </c>
      <c r="C41" s="6" t="s">
        <v>12</v>
      </c>
      <c r="D41" s="6" t="str">
        <f>IF(ISNA(VLOOKUP(Tableau1[[#This Row],[Code]],'Code Véhicule'!$A$4:$C$85,3,FALSE))," ",VLOOKUP(Tableau1[[#This Row],[Code]],'Code Véhicule'!$A$4:$C$85,3,FALSE))</f>
        <v xml:space="preserve"> </v>
      </c>
      <c r="E41" s="6">
        <v>533</v>
      </c>
      <c r="F41" s="6" t="s">
        <v>28</v>
      </c>
      <c r="G41" s="6" t="s">
        <v>110</v>
      </c>
      <c r="H41" s="14"/>
      <c r="I41" s="7" t="s">
        <v>109</v>
      </c>
    </row>
    <row r="42" spans="1:9" ht="18.75" customHeight="1" thickBot="1">
      <c r="A42" s="5">
        <v>43503</v>
      </c>
      <c r="B42" s="6" t="str">
        <f>IF(ISNA(VLOOKUP(Tableau1[[#This Row],[Code]],'Code Véhicule'!$A$4:$C$85,2,FALSE))," ",VLOOKUP(Tableau1[[#This Row],[Code]],'Code Véhicule'!$A$4:$C$85,2,FALSE))</f>
        <v xml:space="preserve"> </v>
      </c>
      <c r="C42" s="6" t="s">
        <v>111</v>
      </c>
      <c r="D42" s="6" t="str">
        <f>IF(ISNA(VLOOKUP(Tableau1[[#This Row],[Code]],'Code Véhicule'!$A$4:$C$85,3,FALSE))," ",VLOOKUP(Tableau1[[#This Row],[Code]],'Code Véhicule'!$A$4:$C$85,3,FALSE))</f>
        <v xml:space="preserve"> </v>
      </c>
      <c r="E42" s="6">
        <v>700</v>
      </c>
      <c r="F42" s="6" t="s">
        <v>112</v>
      </c>
      <c r="G42" s="6" t="s">
        <v>113</v>
      </c>
      <c r="H42" s="14"/>
      <c r="I42" s="7" t="s">
        <v>109</v>
      </c>
    </row>
    <row r="43" spans="1:9" ht="18.95" customHeight="1" thickBot="1">
      <c r="A43" s="5">
        <v>43503</v>
      </c>
      <c r="B43" s="6" t="str">
        <f>IF(ISNA(VLOOKUP(Tableau1[[#This Row],[Code]],'Code Véhicule'!$A$4:$C$85,2,FALSE))," ",VLOOKUP(Tableau1[[#This Row],[Code]],'Code Véhicule'!$A$4:$C$85,2,FALSE))</f>
        <v xml:space="preserve"> </v>
      </c>
      <c r="C43" s="6" t="s">
        <v>12</v>
      </c>
      <c r="D43" s="6" t="str">
        <f>IF(ISNA(VLOOKUP(Tableau1[[#This Row],[Code]],'Code Véhicule'!$A$4:$C$85,3,FALSE))," ",VLOOKUP(Tableau1[[#This Row],[Code]],'Code Véhicule'!$A$4:$C$85,3,FALSE))</f>
        <v xml:space="preserve"> </v>
      </c>
      <c r="E43" s="6">
        <v>700</v>
      </c>
      <c r="F43" s="6" t="s">
        <v>114</v>
      </c>
      <c r="G43" s="6" t="s">
        <v>115</v>
      </c>
      <c r="H43" s="14"/>
      <c r="I43" s="7" t="s">
        <v>109</v>
      </c>
    </row>
    <row r="44" spans="1:9" ht="18.95" customHeight="1" thickBot="1">
      <c r="A44" s="5">
        <v>43503</v>
      </c>
      <c r="B44" s="6" t="str">
        <f>IF(ISNA(VLOOKUP(Tableau1[[#This Row],[Code]],'Code Véhicule'!$A$4:$C$85,2,FALSE))," ",VLOOKUP(Tableau1[[#This Row],[Code]],'Code Véhicule'!$A$4:$C$85,2,FALSE))</f>
        <v xml:space="preserve"> </v>
      </c>
      <c r="C44" s="6" t="s">
        <v>12</v>
      </c>
      <c r="D44" s="6" t="str">
        <f>IF(ISNA(VLOOKUP(Tableau1[[#This Row],[Code]],'Code Véhicule'!$A$4:$C$85,3,FALSE))," ",VLOOKUP(Tableau1[[#This Row],[Code]],'Code Véhicule'!$A$4:$C$85,3,FALSE))</f>
        <v xml:space="preserve"> </v>
      </c>
      <c r="E44" s="6">
        <v>582</v>
      </c>
      <c r="F44" s="6" t="s">
        <v>116</v>
      </c>
      <c r="G44" s="6" t="s">
        <v>117</v>
      </c>
      <c r="H44" s="14"/>
      <c r="I44" s="7" t="s">
        <v>118</v>
      </c>
    </row>
    <row r="45" spans="1:9" ht="18.95" customHeight="1" thickBot="1">
      <c r="A45" s="5">
        <v>43503</v>
      </c>
      <c r="B45" s="6" t="str">
        <f>IF(ISNA(VLOOKUP(Tableau1[[#This Row],[Code]],'Code Véhicule'!$A$4:$C$85,2,FALSE))," ",VLOOKUP(Tableau1[[#This Row],[Code]],'Code Véhicule'!$A$4:$C$85,2,FALSE))</f>
        <v xml:space="preserve"> </v>
      </c>
      <c r="C45" s="6" t="s">
        <v>119</v>
      </c>
      <c r="D45" s="6" t="str">
        <f>IF(ISNA(VLOOKUP(Tableau1[[#This Row],[Code]],'Code Véhicule'!$A$4:$C$85,3,FALSE))," ",VLOOKUP(Tableau1[[#This Row],[Code]],'Code Véhicule'!$A$4:$C$85,3,FALSE))</f>
        <v xml:space="preserve"> </v>
      </c>
      <c r="E45" s="6">
        <v>580</v>
      </c>
      <c r="F45" s="6" t="s">
        <v>51</v>
      </c>
      <c r="G45" s="6" t="s">
        <v>120</v>
      </c>
      <c r="H45" s="14"/>
      <c r="I45" s="7" t="s">
        <v>121</v>
      </c>
    </row>
    <row r="46" spans="1:9" ht="18.95" customHeight="1" thickBot="1">
      <c r="A46" s="5">
        <v>43504</v>
      </c>
      <c r="B46" s="6" t="str">
        <f>IF(ISNA(VLOOKUP(Tableau1[[#This Row],[Code]],'Code Véhicule'!$A$4:$C$85,2,FALSE))," ",VLOOKUP(Tableau1[[#This Row],[Code]],'Code Véhicule'!$A$4:$C$85,2,FALSE))</f>
        <v xml:space="preserve"> </v>
      </c>
      <c r="C46" s="6" t="s">
        <v>12</v>
      </c>
      <c r="D46" s="6" t="str">
        <f>IF(ISNA(VLOOKUP(Tableau1[[#This Row],[Code]],'Code Véhicule'!$A$4:$C$85,3,FALSE))," ",VLOOKUP(Tableau1[[#This Row],[Code]],'Code Véhicule'!$A$4:$C$85,3,FALSE))</f>
        <v xml:space="preserve"> </v>
      </c>
      <c r="E46" s="6">
        <v>800</v>
      </c>
      <c r="F46" s="6" t="s">
        <v>122</v>
      </c>
      <c r="G46" s="6" t="s">
        <v>123</v>
      </c>
      <c r="H46" s="14"/>
      <c r="I46" s="7" t="s">
        <v>124</v>
      </c>
    </row>
    <row r="47" spans="1:9" ht="18.95" customHeight="1" thickBot="1">
      <c r="A47" s="5">
        <v>43504</v>
      </c>
      <c r="B47" s="6" t="str">
        <f>IF(ISNA(VLOOKUP(Tableau1[[#This Row],[Code]],'Code Véhicule'!$A$4:$C$85,2,FALSE))," ",VLOOKUP(Tableau1[[#This Row],[Code]],'Code Véhicule'!$A$4:$C$85,2,FALSE))</f>
        <v xml:space="preserve"> </v>
      </c>
      <c r="C47" s="6" t="s">
        <v>125</v>
      </c>
      <c r="D47" s="6" t="str">
        <f>IF(ISNA(VLOOKUP(Tableau1[[#This Row],[Code]],'Code Véhicule'!$A$4:$C$85,3,FALSE))," ",VLOOKUP(Tableau1[[#This Row],[Code]],'Code Véhicule'!$A$4:$C$85,3,FALSE))</f>
        <v xml:space="preserve"> </v>
      </c>
      <c r="E47" s="6">
        <v>700</v>
      </c>
      <c r="F47" s="6" t="s">
        <v>126</v>
      </c>
      <c r="G47" s="6" t="s">
        <v>127</v>
      </c>
      <c r="H47" s="14"/>
      <c r="I47" s="7" t="s">
        <v>128</v>
      </c>
    </row>
    <row r="48" spans="1:9" ht="18.95" customHeight="1" thickBot="1">
      <c r="A48" s="5">
        <v>43504</v>
      </c>
      <c r="B48" s="6" t="str">
        <f>IF(ISNA(VLOOKUP(Tableau1[[#This Row],[Code]],'Code Véhicule'!$A$4:$C$85,2,FALSE))," ",VLOOKUP(Tableau1[[#This Row],[Code]],'Code Véhicule'!$A$4:$C$85,2,FALSE))</f>
        <v xml:space="preserve"> </v>
      </c>
      <c r="C48" s="6" t="s">
        <v>12</v>
      </c>
      <c r="D48" s="6" t="str">
        <f>IF(ISNA(VLOOKUP(Tableau1[[#This Row],[Code]],'Code Véhicule'!$A$4:$C$85,3,FALSE))," ",VLOOKUP(Tableau1[[#This Row],[Code]],'Code Véhicule'!$A$4:$C$85,3,FALSE))</f>
        <v xml:space="preserve"> </v>
      </c>
      <c r="E48" s="6">
        <v>570</v>
      </c>
      <c r="F48" s="6" t="s">
        <v>129</v>
      </c>
      <c r="G48" s="6" t="s">
        <v>130</v>
      </c>
      <c r="H48" s="14"/>
      <c r="I48" s="7" t="s">
        <v>103</v>
      </c>
    </row>
    <row r="49" spans="1:9" ht="18.95" customHeight="1" thickBot="1">
      <c r="A49" s="5">
        <v>43504</v>
      </c>
      <c r="B49" s="6" t="str">
        <f>IF(ISNA(VLOOKUP(Tableau1[[#This Row],[Code]],'Code Véhicule'!$A$4:$C$85,2,FALSE))," ",VLOOKUP(Tableau1[[#This Row],[Code]],'Code Véhicule'!$A$4:$C$85,2,FALSE))</f>
        <v xml:space="preserve"> </v>
      </c>
      <c r="C49" s="6" t="s">
        <v>12</v>
      </c>
      <c r="D49" s="6" t="str">
        <f>IF(ISNA(VLOOKUP(Tableau1[[#This Row],[Code]],'Code Véhicule'!$A$4:$C$85,3,FALSE))," ",VLOOKUP(Tableau1[[#This Row],[Code]],'Code Véhicule'!$A$4:$C$85,3,FALSE))</f>
        <v xml:space="preserve"> </v>
      </c>
      <c r="E49" s="6">
        <v>570</v>
      </c>
      <c r="F49" s="6" t="s">
        <v>9</v>
      </c>
      <c r="G49" s="6" t="s">
        <v>131</v>
      </c>
      <c r="H49" s="14"/>
      <c r="I49" s="7" t="s">
        <v>79</v>
      </c>
    </row>
    <row r="50" spans="1:9" ht="18.95" customHeight="1" thickBot="1">
      <c r="A50" s="5">
        <v>43504</v>
      </c>
      <c r="B50" s="6" t="str">
        <f>IF(ISNA(VLOOKUP(Tableau1[[#This Row],[Code]],'Code Véhicule'!$A$4:$C$85,2,FALSE))," ",VLOOKUP(Tableau1[[#This Row],[Code]],'Code Véhicule'!$A$4:$C$85,2,FALSE))</f>
        <v xml:space="preserve"> </v>
      </c>
      <c r="C50" s="6" t="s">
        <v>12</v>
      </c>
      <c r="D50" s="6" t="str">
        <f>IF(ISNA(VLOOKUP(Tableau1[[#This Row],[Code]],'Code Véhicule'!$A$4:$C$85,3,FALSE))," ",VLOOKUP(Tableau1[[#This Row],[Code]],'Code Véhicule'!$A$4:$C$85,3,FALSE))</f>
        <v xml:space="preserve"> </v>
      </c>
      <c r="E50" s="6">
        <v>606</v>
      </c>
      <c r="F50" s="6" t="s">
        <v>69</v>
      </c>
      <c r="G50" s="6" t="s">
        <v>132</v>
      </c>
      <c r="H50" s="14"/>
      <c r="I50" s="7" t="s">
        <v>79</v>
      </c>
    </row>
    <row r="51" spans="1:9" ht="18.95" customHeight="1" thickBot="1">
      <c r="A51" s="5">
        <v>43505</v>
      </c>
      <c r="B51" s="6" t="str">
        <f>IF(ISNA(VLOOKUP(Tableau1[[#This Row],[Code]],'Code Véhicule'!$A$4:$C$85,2,FALSE))," ",VLOOKUP(Tableau1[[#This Row],[Code]],'Code Véhicule'!$A$4:$C$85,2,FALSE))</f>
        <v xml:space="preserve"> </v>
      </c>
      <c r="C51" s="6" t="s">
        <v>12</v>
      </c>
      <c r="D51" s="6" t="str">
        <f>IF(ISNA(VLOOKUP(Tableau1[[#This Row],[Code]],'Code Véhicule'!$A$4:$C$85,3,FALSE))," ",VLOOKUP(Tableau1[[#This Row],[Code]],'Code Véhicule'!$A$4:$C$85,3,FALSE))</f>
        <v xml:space="preserve"> </v>
      </c>
      <c r="E51" s="6">
        <v>800</v>
      </c>
      <c r="F51" s="6" t="s">
        <v>114</v>
      </c>
      <c r="G51" s="6" t="s">
        <v>115</v>
      </c>
      <c r="H51" s="14"/>
      <c r="I51" s="7" t="s">
        <v>79</v>
      </c>
    </row>
    <row r="52" spans="1:9" ht="18.95" customHeight="1" thickBot="1">
      <c r="A52" s="5">
        <v>43505</v>
      </c>
      <c r="B52" s="6" t="str">
        <f>IF(ISNA(VLOOKUP(Tableau1[[#This Row],[Code]],'Code Véhicule'!$A$4:$C$85,2,FALSE))," ",VLOOKUP(Tableau1[[#This Row],[Code]],'Code Véhicule'!$A$4:$C$85,2,FALSE))</f>
        <v xml:space="preserve"> </v>
      </c>
      <c r="C52" s="6" t="s">
        <v>12</v>
      </c>
      <c r="D52" s="6" t="str">
        <f>IF(ISNA(VLOOKUP(Tableau1[[#This Row],[Code]],'Code Véhicule'!$A$4:$C$85,3,FALSE))," ",VLOOKUP(Tableau1[[#This Row],[Code]],'Code Véhicule'!$A$4:$C$85,3,FALSE))</f>
        <v xml:space="preserve"> </v>
      </c>
      <c r="E52" s="6">
        <v>800</v>
      </c>
      <c r="F52" s="6" t="s">
        <v>122</v>
      </c>
      <c r="G52" s="6" t="s">
        <v>133</v>
      </c>
      <c r="H52" s="14"/>
      <c r="I52" s="7" t="s">
        <v>134</v>
      </c>
    </row>
    <row r="53" spans="1:9" ht="18.95" customHeight="1" thickBot="1">
      <c r="A53" s="5">
        <v>43505</v>
      </c>
      <c r="B53" s="6" t="str">
        <f>IF(ISNA(VLOOKUP(Tableau1[[#This Row],[Code]],'Code Véhicule'!$A$4:$C$85,2,FALSE))," ",VLOOKUP(Tableau1[[#This Row],[Code]],'Code Véhicule'!$A$4:$C$85,2,FALSE))</f>
        <v xml:space="preserve"> </v>
      </c>
      <c r="C53" s="6" t="s">
        <v>16</v>
      </c>
      <c r="D53" s="6" t="str">
        <f>IF(ISNA(VLOOKUP(Tableau1[[#This Row],[Code]],'Code Véhicule'!$A$4:$C$85,3,FALSE))," ",VLOOKUP(Tableau1[[#This Row],[Code]],'Code Véhicule'!$A$4:$C$85,3,FALSE))</f>
        <v xml:space="preserve"> </v>
      </c>
      <c r="E53" s="6">
        <v>700</v>
      </c>
      <c r="F53" s="6" t="s">
        <v>104</v>
      </c>
      <c r="G53" s="6" t="s">
        <v>135</v>
      </c>
      <c r="H53" s="14"/>
      <c r="I53" s="7" t="s">
        <v>136</v>
      </c>
    </row>
    <row r="54" spans="1:9" ht="18.95" customHeight="1" thickBot="1">
      <c r="A54" s="5">
        <v>43505</v>
      </c>
      <c r="B54" s="6" t="str">
        <f>IF(ISNA(VLOOKUP(Tableau1[[#This Row],[Code]],'Code Véhicule'!$A$4:$C$85,2,FALSE))," ",VLOOKUP(Tableau1[[#This Row],[Code]],'Code Véhicule'!$A$4:$C$85,2,FALSE))</f>
        <v xml:space="preserve"> </v>
      </c>
      <c r="C54" s="6" t="s">
        <v>137</v>
      </c>
      <c r="D54" s="6" t="str">
        <f>IF(ISNA(VLOOKUP(Tableau1[[#This Row],[Code]],'Code Véhicule'!$A$4:$C$85,3,FALSE))," ",VLOOKUP(Tableau1[[#This Row],[Code]],'Code Véhicule'!$A$4:$C$85,3,FALSE))</f>
        <v xml:space="preserve"> </v>
      </c>
      <c r="E54" s="6">
        <v>565</v>
      </c>
      <c r="F54" s="6" t="s">
        <v>138</v>
      </c>
      <c r="G54" s="6" t="s">
        <v>139</v>
      </c>
      <c r="H54" s="14"/>
      <c r="I54" s="7" t="s">
        <v>140</v>
      </c>
    </row>
    <row r="55" spans="1:9" ht="18.95" customHeight="1" thickBot="1">
      <c r="A55" s="5">
        <v>43505</v>
      </c>
      <c r="B55" s="6" t="str">
        <f>IF(ISNA(VLOOKUP(Tableau1[[#This Row],[Code]],'Code Véhicule'!$A$4:$C$85,2,FALSE))," ",VLOOKUP(Tableau1[[#This Row],[Code]],'Code Véhicule'!$A$4:$C$85,2,FALSE))</f>
        <v xml:space="preserve"> </v>
      </c>
      <c r="C55" s="6" t="s">
        <v>59</v>
      </c>
      <c r="D55" s="6" t="str">
        <f>IF(ISNA(VLOOKUP(Tableau1[[#This Row],[Code]],'Code Véhicule'!$A$4:$C$85,3,FALSE))," ",VLOOKUP(Tableau1[[#This Row],[Code]],'Code Véhicule'!$A$4:$C$85,3,FALSE))</f>
        <v xml:space="preserve"> </v>
      </c>
      <c r="E55" s="6">
        <v>568</v>
      </c>
      <c r="F55" s="6" t="s">
        <v>74</v>
      </c>
      <c r="G55" s="6" t="s">
        <v>141</v>
      </c>
      <c r="H55" s="14"/>
      <c r="I55" s="7" t="s">
        <v>142</v>
      </c>
    </row>
    <row r="56" spans="1:9" ht="18.95" customHeight="1" thickBot="1">
      <c r="A56" s="5">
        <v>43505</v>
      </c>
      <c r="B56" s="6" t="str">
        <f>IF(ISNA(VLOOKUP(Tableau1[[#This Row],[Code]],'Code Véhicule'!$A$4:$C$85,2,FALSE))," ",VLOOKUP(Tableau1[[#This Row],[Code]],'Code Véhicule'!$A$4:$C$85,2,FALSE))</f>
        <v xml:space="preserve"> </v>
      </c>
      <c r="C56" s="6" t="s">
        <v>12</v>
      </c>
      <c r="D56" s="6" t="str">
        <f>IF(ISNA(VLOOKUP(Tableau1[[#This Row],[Code]],'Code Véhicule'!$A$4:$C$85,3,FALSE))," ",VLOOKUP(Tableau1[[#This Row],[Code]],'Code Véhicule'!$A$4:$C$85,3,FALSE))</f>
        <v xml:space="preserve"> </v>
      </c>
      <c r="E56" s="6">
        <v>582</v>
      </c>
      <c r="F56" s="6" t="s">
        <v>116</v>
      </c>
      <c r="G56" s="6" t="s">
        <v>143</v>
      </c>
      <c r="H56" s="14"/>
      <c r="I56" s="7" t="s">
        <v>144</v>
      </c>
    </row>
    <row r="57" spans="1:9" ht="18.95" customHeight="1" thickBot="1">
      <c r="A57" s="5">
        <v>43507</v>
      </c>
      <c r="B57" s="6" t="str">
        <f>IF(ISNA(VLOOKUP(Tableau1[[#This Row],[Code]],'Code Véhicule'!$A$4:$C$85,2,FALSE))," ",VLOOKUP(Tableau1[[#This Row],[Code]],'Code Véhicule'!$A$4:$C$85,2,FALSE))</f>
        <v xml:space="preserve"> </v>
      </c>
      <c r="C57" s="6" t="s">
        <v>145</v>
      </c>
      <c r="D57" s="6" t="str">
        <f>IF(ISNA(VLOOKUP(Tableau1[[#This Row],[Code]],'Code Véhicule'!$A$4:$C$85,3,FALSE))," ",VLOOKUP(Tableau1[[#This Row],[Code]],'Code Véhicule'!$A$4:$C$85,3,FALSE))</f>
        <v xml:space="preserve"> </v>
      </c>
      <c r="E57" s="6">
        <v>700</v>
      </c>
      <c r="F57" s="6" t="s">
        <v>114</v>
      </c>
      <c r="G57" s="6" t="s">
        <v>146</v>
      </c>
      <c r="H57" s="14"/>
      <c r="I57" s="7" t="s">
        <v>147</v>
      </c>
    </row>
    <row r="58" spans="1:9" ht="18.95" customHeight="1" thickBot="1">
      <c r="A58" s="5">
        <v>43507</v>
      </c>
      <c r="B58" s="6" t="str">
        <f>IF(ISNA(VLOOKUP(Tableau1[[#This Row],[Code]],'Code Véhicule'!$A$4:$C$85,2,FALSE))," ",VLOOKUP(Tableau1[[#This Row],[Code]],'Code Véhicule'!$A$4:$C$85,2,FALSE))</f>
        <v xml:space="preserve"> </v>
      </c>
      <c r="C58" s="6" t="s">
        <v>12</v>
      </c>
      <c r="D58" s="6" t="str">
        <f>IF(ISNA(VLOOKUP(Tableau1[[#This Row],[Code]],'Code Véhicule'!$A$4:$C$85,3,FALSE))," ",VLOOKUP(Tableau1[[#This Row],[Code]],'Code Véhicule'!$A$4:$C$85,3,FALSE))</f>
        <v xml:space="preserve"> </v>
      </c>
      <c r="E58" s="6">
        <v>700</v>
      </c>
      <c r="F58" s="6" t="s">
        <v>39</v>
      </c>
      <c r="G58" s="6" t="s">
        <v>148</v>
      </c>
      <c r="H58" s="14"/>
      <c r="I58" s="7" t="s">
        <v>79</v>
      </c>
    </row>
    <row r="59" spans="1:9" ht="18.95" customHeight="1" thickBot="1">
      <c r="A59" s="5">
        <v>43507</v>
      </c>
      <c r="B59" s="6" t="str">
        <f>IF(ISNA(VLOOKUP(Tableau1[[#This Row],[Code]],'Code Véhicule'!$A$4:$C$85,2,FALSE))," ",VLOOKUP(Tableau1[[#This Row],[Code]],'Code Véhicule'!$A$4:$C$85,2,FALSE))</f>
        <v xml:space="preserve"> </v>
      </c>
      <c r="C59" s="6" t="s">
        <v>12</v>
      </c>
      <c r="D59" s="6" t="str">
        <f>IF(ISNA(VLOOKUP(Tableau1[[#This Row],[Code]],'Code Véhicule'!$A$4:$C$85,3,FALSE))," ",VLOOKUP(Tableau1[[#This Row],[Code]],'Code Véhicule'!$A$4:$C$85,3,FALSE))</f>
        <v xml:space="preserve"> </v>
      </c>
      <c r="E59" s="6">
        <v>561</v>
      </c>
      <c r="F59" s="6" t="s">
        <v>48</v>
      </c>
      <c r="G59" s="6" t="s">
        <v>149</v>
      </c>
      <c r="H59" s="14"/>
      <c r="I59" s="7" t="s">
        <v>79</v>
      </c>
    </row>
    <row r="60" spans="1:9" ht="18.95" customHeight="1" thickBot="1">
      <c r="A60" s="5">
        <v>43507</v>
      </c>
      <c r="B60" s="6" t="str">
        <f>IF(ISNA(VLOOKUP(Tableau1[[#This Row],[Code]],'Code Véhicule'!$A$4:$C$85,2,FALSE))," ",VLOOKUP(Tableau1[[#This Row],[Code]],'Code Véhicule'!$A$4:$C$85,2,FALSE))</f>
        <v xml:space="preserve"> </v>
      </c>
      <c r="C60" s="6" t="s">
        <v>12</v>
      </c>
      <c r="D60" s="6" t="str">
        <f>IF(ISNA(VLOOKUP(Tableau1[[#This Row],[Code]],'Code Véhicule'!$A$4:$C$85,3,FALSE))," ",VLOOKUP(Tableau1[[#This Row],[Code]],'Code Véhicule'!$A$4:$C$85,3,FALSE))</f>
        <v xml:space="preserve"> </v>
      </c>
      <c r="E60" s="6">
        <v>603</v>
      </c>
      <c r="F60" s="6" t="s">
        <v>150</v>
      </c>
      <c r="G60" s="6" t="s">
        <v>151</v>
      </c>
      <c r="H60" s="14"/>
      <c r="I60" s="7" t="s">
        <v>79</v>
      </c>
    </row>
    <row r="61" spans="1:9" ht="18.95" customHeight="1" thickBot="1">
      <c r="A61" s="5">
        <v>43507</v>
      </c>
      <c r="B61" s="6" t="str">
        <f>IF(ISNA(VLOOKUP(Tableau1[[#This Row],[Code]],'Code Véhicule'!$A$4:$C$85,2,FALSE))," ",VLOOKUP(Tableau1[[#This Row],[Code]],'Code Véhicule'!$A$4:$C$85,2,FALSE))</f>
        <v xml:space="preserve"> </v>
      </c>
      <c r="C61" s="6" t="s">
        <v>12</v>
      </c>
      <c r="D61" s="6" t="str">
        <f>IF(ISNA(VLOOKUP(Tableau1[[#This Row],[Code]],'Code Véhicule'!$A$4:$C$85,3,FALSE))," ",VLOOKUP(Tableau1[[#This Row],[Code]],'Code Véhicule'!$A$4:$C$85,3,FALSE))</f>
        <v xml:space="preserve"> </v>
      </c>
      <c r="E61" s="6">
        <v>590</v>
      </c>
      <c r="F61" s="6" t="s">
        <v>152</v>
      </c>
      <c r="G61" s="6" t="s">
        <v>153</v>
      </c>
      <c r="H61" s="14"/>
      <c r="I61" s="7" t="s">
        <v>154</v>
      </c>
    </row>
    <row r="62" spans="1:9" ht="18.95" customHeight="1" thickBot="1">
      <c r="A62" s="5">
        <v>43507</v>
      </c>
      <c r="B62" s="6" t="str">
        <f>IF(ISNA(VLOOKUP(Tableau1[[#This Row],[Code]],'Code Véhicule'!$A$4:$C$85,2,FALSE))," ",VLOOKUP(Tableau1[[#This Row],[Code]],'Code Véhicule'!$A$4:$C$85,2,FALSE))</f>
        <v xml:space="preserve"> </v>
      </c>
      <c r="C62" s="6" t="s">
        <v>12</v>
      </c>
      <c r="D62" s="6" t="str">
        <f>IF(ISNA(VLOOKUP(Tableau1[[#This Row],[Code]],'Code Véhicule'!$A$4:$C$85,3,FALSE))," ",VLOOKUP(Tableau1[[#This Row],[Code]],'Code Véhicule'!$A$4:$C$85,3,FALSE))</f>
        <v xml:space="preserve"> </v>
      </c>
      <c r="E62" s="6">
        <v>583</v>
      </c>
      <c r="F62" s="6" t="s">
        <v>74</v>
      </c>
      <c r="G62" s="6" t="s">
        <v>155</v>
      </c>
      <c r="H62" s="14"/>
      <c r="I62" s="7" t="s">
        <v>76</v>
      </c>
    </row>
    <row r="63" spans="1:9" ht="18.95" customHeight="1" thickBot="1">
      <c r="A63" s="5">
        <v>43507</v>
      </c>
      <c r="B63" s="6" t="str">
        <f>IF(ISNA(VLOOKUP(Tableau1[[#This Row],[Code]],'Code Véhicule'!$A$4:$C$85,2,FALSE))," ",VLOOKUP(Tableau1[[#This Row],[Code]],'Code Véhicule'!$A$4:$C$85,2,FALSE))</f>
        <v xml:space="preserve"> </v>
      </c>
      <c r="C63" s="6" t="s">
        <v>12</v>
      </c>
      <c r="D63" s="6" t="str">
        <f>IF(ISNA(VLOOKUP(Tableau1[[#This Row],[Code]],'Code Véhicule'!$A$4:$C$85,3,FALSE))," ",VLOOKUP(Tableau1[[#This Row],[Code]],'Code Véhicule'!$A$4:$C$85,3,FALSE))</f>
        <v xml:space="preserve"> </v>
      </c>
      <c r="E63" s="6">
        <v>565</v>
      </c>
      <c r="F63" s="6" t="s">
        <v>156</v>
      </c>
      <c r="G63" s="6" t="s">
        <v>157</v>
      </c>
      <c r="H63" s="14"/>
      <c r="I63" s="7" t="s">
        <v>106</v>
      </c>
    </row>
    <row r="64" spans="1:9" ht="18.95" customHeight="1" thickBot="1">
      <c r="A64" s="5">
        <v>43507</v>
      </c>
      <c r="B64" s="6" t="str">
        <f>IF(ISNA(VLOOKUP(Tableau1[[#This Row],[Code]],'Code Véhicule'!$A$4:$C$85,2,FALSE))," ",VLOOKUP(Tableau1[[#This Row],[Code]],'Code Véhicule'!$A$4:$C$85,2,FALSE))</f>
        <v xml:space="preserve"> </v>
      </c>
      <c r="C64" s="6" t="s">
        <v>23</v>
      </c>
      <c r="D64" s="6" t="str">
        <f>IF(ISNA(VLOOKUP(Tableau1[[#This Row],[Code]],'Code Véhicule'!$A$4:$C$85,3,FALSE))," ",VLOOKUP(Tableau1[[#This Row],[Code]],'Code Véhicule'!$A$4:$C$85,3,FALSE))</f>
        <v xml:space="preserve"> </v>
      </c>
      <c r="E64" s="6">
        <v>571</v>
      </c>
      <c r="F64" s="6" t="s">
        <v>24</v>
      </c>
      <c r="G64" s="6" t="s">
        <v>158</v>
      </c>
      <c r="H64" s="14"/>
      <c r="I64" s="7" t="s">
        <v>159</v>
      </c>
    </row>
    <row r="65" spans="1:9" ht="18.95" customHeight="1" thickBot="1">
      <c r="A65" s="5">
        <v>43507</v>
      </c>
      <c r="B65" s="6" t="str">
        <f>IF(ISNA(VLOOKUP(Tableau1[[#This Row],[Code]],'Code Véhicule'!$A$4:$C$85,2,FALSE))," ",VLOOKUP(Tableau1[[#This Row],[Code]],'Code Véhicule'!$A$4:$C$85,2,FALSE))</f>
        <v xml:space="preserve"> </v>
      </c>
      <c r="C65" s="6" t="s">
        <v>12</v>
      </c>
      <c r="D65" s="6" t="str">
        <f>IF(ISNA(VLOOKUP(Tableau1[[#This Row],[Code]],'Code Véhicule'!$A$4:$C$85,3,FALSE))," ",VLOOKUP(Tableau1[[#This Row],[Code]],'Code Véhicule'!$A$4:$C$85,3,FALSE))</f>
        <v xml:space="preserve"> </v>
      </c>
      <c r="E65" s="6">
        <v>560</v>
      </c>
      <c r="F65" s="6" t="s">
        <v>98</v>
      </c>
      <c r="G65" s="6" t="s">
        <v>160</v>
      </c>
      <c r="H65" s="14"/>
      <c r="I65" s="7" t="s">
        <v>79</v>
      </c>
    </row>
    <row r="66" spans="1:9" ht="18.95" customHeight="1" thickBot="1">
      <c r="A66" s="5">
        <v>43507</v>
      </c>
      <c r="B66" s="6" t="str">
        <f>IF(ISNA(VLOOKUP(Tableau1[[#This Row],[Code]],'Code Véhicule'!$A$4:$C$85,2,FALSE))," ",VLOOKUP(Tableau1[[#This Row],[Code]],'Code Véhicule'!$A$4:$C$85,2,FALSE))</f>
        <v xml:space="preserve"> </v>
      </c>
      <c r="C66" s="6" t="s">
        <v>12</v>
      </c>
      <c r="D66" s="6" t="str">
        <f>IF(ISNA(VLOOKUP(Tableau1[[#This Row],[Code]],'Code Véhicule'!$A$4:$C$85,3,FALSE))," ",VLOOKUP(Tableau1[[#This Row],[Code]],'Code Véhicule'!$A$4:$C$85,3,FALSE))</f>
        <v xml:space="preserve"> </v>
      </c>
      <c r="E66" s="6">
        <v>565</v>
      </c>
      <c r="F66" s="6" t="s">
        <v>98</v>
      </c>
      <c r="G66" s="6" t="s">
        <v>161</v>
      </c>
      <c r="H66" s="14"/>
      <c r="I66" s="7" t="s">
        <v>79</v>
      </c>
    </row>
    <row r="67" spans="1:9" ht="18.95" customHeight="1" thickBot="1">
      <c r="A67" s="5">
        <v>43507</v>
      </c>
      <c r="B67" s="6" t="str">
        <f>IF(ISNA(VLOOKUP(Tableau1[[#This Row],[Code]],'Code Véhicule'!$A$4:$C$85,2,FALSE))," ",VLOOKUP(Tableau1[[#This Row],[Code]],'Code Véhicule'!$A$4:$C$85,2,FALSE))</f>
        <v xml:space="preserve"> </v>
      </c>
      <c r="C67" s="6" t="s">
        <v>16</v>
      </c>
      <c r="D67" s="6" t="str">
        <f>IF(ISNA(VLOOKUP(Tableau1[[#This Row],[Code]],'Code Véhicule'!$A$4:$C$85,3,FALSE))," ",VLOOKUP(Tableau1[[#This Row],[Code]],'Code Véhicule'!$A$4:$C$85,3,FALSE))</f>
        <v xml:space="preserve"> </v>
      </c>
      <c r="E67" s="6">
        <v>582</v>
      </c>
      <c r="F67" s="6" t="s">
        <v>162</v>
      </c>
      <c r="G67" s="6" t="s">
        <v>163</v>
      </c>
      <c r="H67" s="14"/>
      <c r="I67" s="7" t="s">
        <v>79</v>
      </c>
    </row>
    <row r="68" spans="1:9" ht="18.95" customHeight="1" thickBot="1">
      <c r="A68" s="5">
        <v>43507</v>
      </c>
      <c r="B68" s="6" t="str">
        <f>IF(ISNA(VLOOKUP(Tableau1[[#This Row],[Code]],'Code Véhicule'!$A$4:$C$85,2,FALSE))," ",VLOOKUP(Tableau1[[#This Row],[Code]],'Code Véhicule'!$A$4:$C$85,2,FALSE))</f>
        <v xml:space="preserve"> </v>
      </c>
      <c r="C68" s="6" t="s">
        <v>137</v>
      </c>
      <c r="D68" s="6" t="str">
        <f>IF(ISNA(VLOOKUP(Tableau1[[#This Row],[Code]],'Code Véhicule'!$A$4:$C$85,3,FALSE))," ",VLOOKUP(Tableau1[[#This Row],[Code]],'Code Véhicule'!$A$4:$C$85,3,FALSE))</f>
        <v xml:space="preserve"> </v>
      </c>
      <c r="E68" s="6">
        <v>582</v>
      </c>
      <c r="F68" s="6" t="s">
        <v>164</v>
      </c>
      <c r="G68" s="6" t="s">
        <v>165</v>
      </c>
      <c r="H68" s="14"/>
      <c r="I68" s="7" t="s">
        <v>166</v>
      </c>
    </row>
    <row r="69" spans="1:9" ht="18.95" customHeight="1" thickBot="1">
      <c r="A69" s="5">
        <v>43507</v>
      </c>
      <c r="B69" s="6" t="str">
        <f>IF(ISNA(VLOOKUP(Tableau1[[#This Row],[Code]],'Code Véhicule'!$A$4:$C$85,2,FALSE))," ",VLOOKUP(Tableau1[[#This Row],[Code]],'Code Véhicule'!$A$4:$C$85,2,FALSE))</f>
        <v xml:space="preserve"> </v>
      </c>
      <c r="C69" s="6" t="s">
        <v>12</v>
      </c>
      <c r="D69" s="6" t="str">
        <f>IF(ISNA(VLOOKUP(Tableau1[[#This Row],[Code]],'Code Véhicule'!$A$4:$C$85,3,FALSE))," ",VLOOKUP(Tableau1[[#This Row],[Code]],'Code Véhicule'!$A$4:$C$85,3,FALSE))</f>
        <v xml:space="preserve"> </v>
      </c>
      <c r="E69" s="6">
        <v>582</v>
      </c>
      <c r="F69" s="6" t="s">
        <v>116</v>
      </c>
      <c r="G69" s="6" t="s">
        <v>167</v>
      </c>
      <c r="H69" s="14"/>
      <c r="I69" s="7" t="s">
        <v>106</v>
      </c>
    </row>
    <row r="70" spans="1:9" ht="18.95" customHeight="1" thickBot="1">
      <c r="A70" s="5">
        <v>43508</v>
      </c>
      <c r="B70" s="6" t="str">
        <f>IF(ISNA(VLOOKUP(Tableau1[[#This Row],[Code]],'Code Véhicule'!$A$4:$C$85,2,FALSE))," ",VLOOKUP(Tableau1[[#This Row],[Code]],'Code Véhicule'!$A$4:$C$85,2,FALSE))</f>
        <v xml:space="preserve"> </v>
      </c>
      <c r="C70" s="6" t="s">
        <v>12</v>
      </c>
      <c r="D70" s="6" t="str">
        <f>IF(ISNA(VLOOKUP(Tableau1[[#This Row],[Code]],'Code Véhicule'!$A$4:$C$85,3,FALSE))," ",VLOOKUP(Tableau1[[#This Row],[Code]],'Code Véhicule'!$A$4:$C$85,3,FALSE))</f>
        <v xml:space="preserve"> </v>
      </c>
      <c r="E70" s="6">
        <v>604</v>
      </c>
      <c r="F70" s="6" t="s">
        <v>168</v>
      </c>
      <c r="G70" s="6" t="s">
        <v>169</v>
      </c>
      <c r="H70" s="14"/>
      <c r="I70" s="7" t="s">
        <v>106</v>
      </c>
    </row>
    <row r="71" spans="1:9" ht="18.95" customHeight="1" thickBot="1">
      <c r="A71" s="5">
        <v>43508</v>
      </c>
      <c r="B71" s="6" t="str">
        <f>IF(ISNA(VLOOKUP(Tableau1[[#This Row],[Code]],'Code Véhicule'!$A$4:$C$85,2,FALSE))," ",VLOOKUP(Tableau1[[#This Row],[Code]],'Code Véhicule'!$A$4:$C$85,2,FALSE))</f>
        <v xml:space="preserve"> </v>
      </c>
      <c r="C71" s="6" t="s">
        <v>12</v>
      </c>
      <c r="D71" s="6" t="str">
        <f>IF(ISNA(VLOOKUP(Tableau1[[#This Row],[Code]],'Code Véhicule'!$A$4:$C$85,3,FALSE))," ",VLOOKUP(Tableau1[[#This Row],[Code]],'Code Véhicule'!$A$4:$C$85,3,FALSE))</f>
        <v xml:space="preserve"> </v>
      </c>
      <c r="E71" s="6">
        <v>565</v>
      </c>
      <c r="F71" s="6" t="s">
        <v>98</v>
      </c>
      <c r="G71" s="6" t="s">
        <v>170</v>
      </c>
      <c r="H71" s="14"/>
      <c r="I71" s="7" t="s">
        <v>106</v>
      </c>
    </row>
    <row r="72" spans="1:9" ht="18.95" customHeight="1" thickBot="1">
      <c r="A72" s="5">
        <v>43508</v>
      </c>
      <c r="B72" s="6" t="str">
        <f>IF(ISNA(VLOOKUP(Tableau1[[#This Row],[Code]],'Code Véhicule'!$A$4:$C$85,2,FALSE))," ",VLOOKUP(Tableau1[[#This Row],[Code]],'Code Véhicule'!$A$4:$C$85,2,FALSE))</f>
        <v xml:space="preserve"> </v>
      </c>
      <c r="C72" s="6" t="s">
        <v>23</v>
      </c>
      <c r="D72" s="6" t="str">
        <f>IF(ISNA(VLOOKUP(Tableau1[[#This Row],[Code]],'Code Véhicule'!$A$4:$C$85,3,FALSE))," ",VLOOKUP(Tableau1[[#This Row],[Code]],'Code Véhicule'!$A$4:$C$85,3,FALSE))</f>
        <v xml:space="preserve"> </v>
      </c>
      <c r="E72" s="6">
        <v>565</v>
      </c>
      <c r="F72" s="6" t="s">
        <v>24</v>
      </c>
      <c r="G72" s="6" t="s">
        <v>171</v>
      </c>
      <c r="H72" s="14"/>
      <c r="I72" s="7" t="s">
        <v>172</v>
      </c>
    </row>
    <row r="73" spans="1:9" ht="18.95" customHeight="1" thickBot="1">
      <c r="A73" s="5">
        <v>43508</v>
      </c>
      <c r="B73" s="6" t="str">
        <f>IF(ISNA(VLOOKUP(Tableau1[[#This Row],[Code]],'Code Véhicule'!$A$4:$C$85,2,FALSE))," ",VLOOKUP(Tableau1[[#This Row],[Code]],'Code Véhicule'!$A$4:$C$85,2,FALSE))</f>
        <v xml:space="preserve"> </v>
      </c>
      <c r="C73" s="6" t="s">
        <v>173</v>
      </c>
      <c r="D73" s="6" t="str">
        <f>IF(ISNA(VLOOKUP(Tableau1[[#This Row],[Code]],'Code Véhicule'!$A$4:$C$85,3,FALSE))," ",VLOOKUP(Tableau1[[#This Row],[Code]],'Code Véhicule'!$A$4:$C$85,3,FALSE))</f>
        <v xml:space="preserve"> </v>
      </c>
      <c r="E73" s="6">
        <v>560</v>
      </c>
      <c r="F73" s="6" t="s">
        <v>98</v>
      </c>
      <c r="G73" s="6" t="s">
        <v>174</v>
      </c>
      <c r="H73" s="14"/>
      <c r="I73" s="7" t="s">
        <v>175</v>
      </c>
    </row>
    <row r="74" spans="1:9" ht="18.95" customHeight="1" thickBot="1">
      <c r="A74" s="5">
        <v>43508</v>
      </c>
      <c r="B74" s="6" t="str">
        <f>IF(ISNA(VLOOKUP(Tableau1[[#This Row],[Code]],'Code Véhicule'!$A$4:$C$85,2,FALSE))," ",VLOOKUP(Tableau1[[#This Row],[Code]],'Code Véhicule'!$A$4:$C$85,2,FALSE))</f>
        <v xml:space="preserve"> </v>
      </c>
      <c r="C74" s="6" t="s">
        <v>12</v>
      </c>
      <c r="D74" s="6" t="str">
        <f>IF(ISNA(VLOOKUP(Tableau1[[#This Row],[Code]],'Code Véhicule'!$A$4:$C$85,3,FALSE))," ",VLOOKUP(Tableau1[[#This Row],[Code]],'Code Véhicule'!$A$4:$C$85,3,FALSE))</f>
        <v xml:space="preserve"> </v>
      </c>
      <c r="E74" s="6">
        <v>700</v>
      </c>
      <c r="F74" s="6" t="s">
        <v>176</v>
      </c>
      <c r="G74" s="6" t="s">
        <v>177</v>
      </c>
      <c r="H74" s="14"/>
      <c r="I74" s="7" t="s">
        <v>106</v>
      </c>
    </row>
    <row r="75" spans="1:9" ht="18.95" customHeight="1" thickBot="1">
      <c r="A75" s="5">
        <v>43508</v>
      </c>
      <c r="B75" s="6" t="str">
        <f>IF(ISNA(VLOOKUP(Tableau1[[#This Row],[Code]],'Code Véhicule'!$A$4:$C$85,2,FALSE))," ",VLOOKUP(Tableau1[[#This Row],[Code]],'Code Véhicule'!$A$4:$C$85,2,FALSE))</f>
        <v xml:space="preserve"> </v>
      </c>
      <c r="C75" s="6" t="s">
        <v>101</v>
      </c>
      <c r="D75" s="6" t="str">
        <f>IF(ISNA(VLOOKUP(Tableau1[[#This Row],[Code]],'Code Véhicule'!$A$4:$C$85,3,FALSE))," ",VLOOKUP(Tableau1[[#This Row],[Code]],'Code Véhicule'!$A$4:$C$85,3,FALSE))</f>
        <v xml:space="preserve"> </v>
      </c>
      <c r="E75" s="6">
        <v>800</v>
      </c>
      <c r="F75" s="6" t="s">
        <v>176</v>
      </c>
      <c r="G75" s="6" t="s">
        <v>178</v>
      </c>
      <c r="H75" s="14"/>
      <c r="I75" s="7" t="s">
        <v>109</v>
      </c>
    </row>
    <row r="76" spans="1:9" ht="18.95" customHeight="1" thickBot="1">
      <c r="A76" s="5">
        <v>43508</v>
      </c>
      <c r="B76" s="6" t="str">
        <f>IF(ISNA(VLOOKUP(Tableau1[[#This Row],[Code]],'Code Véhicule'!$A$4:$C$85,2,FALSE))," ",VLOOKUP(Tableau1[[#This Row],[Code]],'Code Véhicule'!$A$4:$C$85,2,FALSE))</f>
        <v xml:space="preserve"> </v>
      </c>
      <c r="C76" s="6" t="s">
        <v>101</v>
      </c>
      <c r="D76" s="6" t="str">
        <f>IF(ISNA(VLOOKUP(Tableau1[[#This Row],[Code]],'Code Véhicule'!$A$4:$C$85,3,FALSE))," ",VLOOKUP(Tableau1[[#This Row],[Code]],'Code Véhicule'!$A$4:$C$85,3,FALSE))</f>
        <v xml:space="preserve"> </v>
      </c>
      <c r="E76" s="6">
        <v>800</v>
      </c>
      <c r="F76" s="6" t="s">
        <v>179</v>
      </c>
      <c r="G76" s="6" t="s">
        <v>180</v>
      </c>
      <c r="H76" s="14"/>
      <c r="I76" s="7" t="s">
        <v>109</v>
      </c>
    </row>
    <row r="77" spans="1:9" ht="18.95" customHeight="1" thickBot="1">
      <c r="A77" s="5">
        <v>43508</v>
      </c>
      <c r="B77" s="6" t="str">
        <f>IF(ISNA(VLOOKUP(Tableau1[[#This Row],[Code]],'Code Véhicule'!$A$4:$C$85,2,FALSE))," ",VLOOKUP(Tableau1[[#This Row],[Code]],'Code Véhicule'!$A$4:$C$85,2,FALSE))</f>
        <v xml:space="preserve"> </v>
      </c>
      <c r="C77" s="6" t="s">
        <v>12</v>
      </c>
      <c r="D77" s="6" t="str">
        <f>IF(ISNA(VLOOKUP(Tableau1[[#This Row],[Code]],'Code Véhicule'!$A$4:$C$85,3,FALSE))," ",VLOOKUP(Tableau1[[#This Row],[Code]],'Code Véhicule'!$A$4:$C$85,3,FALSE))</f>
        <v xml:space="preserve"> </v>
      </c>
      <c r="E77" s="6">
        <v>581</v>
      </c>
      <c r="F77" s="6" t="s">
        <v>181</v>
      </c>
      <c r="G77" s="6" t="s">
        <v>182</v>
      </c>
      <c r="H77" s="14"/>
      <c r="I77" s="7" t="s">
        <v>106</v>
      </c>
    </row>
    <row r="78" spans="1:9" ht="18.95" customHeight="1" thickBot="1">
      <c r="A78" s="5">
        <v>43508</v>
      </c>
      <c r="B78" s="6" t="str">
        <f>IF(ISNA(VLOOKUP(Tableau1[[#This Row],[Code]],'Code Véhicule'!$A$4:$C$85,2,FALSE))," ",VLOOKUP(Tableau1[[#This Row],[Code]],'Code Véhicule'!$A$4:$C$85,2,FALSE))</f>
        <v xml:space="preserve"> </v>
      </c>
      <c r="C78" s="6"/>
      <c r="D78" s="6" t="str">
        <f>IF(ISNA(VLOOKUP(Tableau1[[#This Row],[Code]],'Code Véhicule'!$A$4:$C$85,3,FALSE))," ",VLOOKUP(Tableau1[[#This Row],[Code]],'Code Véhicule'!$A$4:$C$85,3,FALSE))</f>
        <v xml:space="preserve"> </v>
      </c>
      <c r="E78" s="6">
        <v>582</v>
      </c>
      <c r="F78" s="6" t="s">
        <v>183</v>
      </c>
      <c r="G78" s="6" t="s">
        <v>184</v>
      </c>
      <c r="H78" s="14"/>
      <c r="I78" s="7" t="s">
        <v>15</v>
      </c>
    </row>
    <row r="79" spans="1:9" ht="18.75" customHeight="1" thickBot="1">
      <c r="A79" s="5">
        <v>43509</v>
      </c>
      <c r="B79" s="6" t="str">
        <f>IF(ISNA(VLOOKUP(Tableau1[[#This Row],[Code]],'Code Véhicule'!$A$4:$C$85,2,FALSE))," ",VLOOKUP(Tableau1[[#This Row],[Code]],'Code Véhicule'!$A$4:$C$85,2,FALSE))</f>
        <v xml:space="preserve"> </v>
      </c>
      <c r="C79" s="6" t="s">
        <v>12</v>
      </c>
      <c r="D79" s="6" t="str">
        <f>IF(ISNA(VLOOKUP(Tableau1[[#This Row],[Code]],'Code Véhicule'!$A$4:$C$85,3,FALSE))," ",VLOOKUP(Tableau1[[#This Row],[Code]],'Code Véhicule'!$A$4:$C$85,3,FALSE))</f>
        <v xml:space="preserve"> </v>
      </c>
      <c r="E79" s="6">
        <v>565</v>
      </c>
      <c r="F79" s="6" t="s">
        <v>98</v>
      </c>
      <c r="G79" s="6" t="s">
        <v>170</v>
      </c>
      <c r="H79" s="14"/>
      <c r="I79" s="7" t="s">
        <v>106</v>
      </c>
    </row>
    <row r="80" spans="1:9" ht="18.75" customHeight="1" thickBot="1">
      <c r="A80" s="5">
        <v>43509</v>
      </c>
      <c r="B80" s="6" t="str">
        <f>IF(ISNA(VLOOKUP(Tableau1[[#This Row],[Code]],'Code Véhicule'!$A$4:$C$85,2,FALSE))," ",VLOOKUP(Tableau1[[#This Row],[Code]],'Code Véhicule'!$A$4:$C$85,2,FALSE))</f>
        <v xml:space="preserve"> </v>
      </c>
      <c r="C80" s="6" t="s">
        <v>12</v>
      </c>
      <c r="D80" s="6" t="str">
        <f>IF(ISNA(VLOOKUP(Tableau1[[#This Row],[Code]],'Code Véhicule'!$A$4:$C$85,3,FALSE))," ",VLOOKUP(Tableau1[[#This Row],[Code]],'Code Véhicule'!$A$4:$C$85,3,FALSE))</f>
        <v xml:space="preserve"> </v>
      </c>
      <c r="E80" s="6">
        <v>605</v>
      </c>
      <c r="F80" s="6" t="s">
        <v>72</v>
      </c>
      <c r="G80" s="6" t="s">
        <v>185</v>
      </c>
      <c r="H80" s="14"/>
      <c r="I80" s="7" t="s">
        <v>106</v>
      </c>
    </row>
    <row r="81" spans="1:9" ht="18.95" customHeight="1" thickBot="1">
      <c r="A81" s="5">
        <v>43509</v>
      </c>
      <c r="B81" s="6" t="str">
        <f>IF(ISNA(VLOOKUP(Tableau1[[#This Row],[Code]],'Code Véhicule'!$A$4:$C$85,2,FALSE))," ",VLOOKUP(Tableau1[[#This Row],[Code]],'Code Véhicule'!$A$4:$C$85,2,FALSE))</f>
        <v xml:space="preserve"> </v>
      </c>
      <c r="C81" s="6" t="s">
        <v>12</v>
      </c>
      <c r="D81" s="6" t="str">
        <f>IF(ISNA(VLOOKUP(Tableau1[[#This Row],[Code]],'Code Véhicule'!$A$4:$C$85,3,FALSE))," ",VLOOKUP(Tableau1[[#This Row],[Code]],'Code Véhicule'!$A$4:$C$85,3,FALSE))</f>
        <v xml:space="preserve"> </v>
      </c>
      <c r="E81" s="6">
        <v>560</v>
      </c>
      <c r="F81" s="6" t="s">
        <v>98</v>
      </c>
      <c r="G81" s="6" t="s">
        <v>186</v>
      </c>
      <c r="H81" s="14"/>
      <c r="I81" s="7" t="s">
        <v>106</v>
      </c>
    </row>
    <row r="82" spans="1:9" ht="18.95" customHeight="1" thickBot="1">
      <c r="A82" s="5">
        <v>43509</v>
      </c>
      <c r="B82" s="6" t="str">
        <f>IF(ISNA(VLOOKUP(Tableau1[[#This Row],[Code]],'Code Véhicule'!$A$4:$C$85,2,FALSE))," ",VLOOKUP(Tableau1[[#This Row],[Code]],'Code Véhicule'!$A$4:$C$85,2,FALSE))</f>
        <v xml:space="preserve"> </v>
      </c>
      <c r="C82" s="6" t="s">
        <v>187</v>
      </c>
      <c r="D82" s="6" t="str">
        <f>IF(ISNA(VLOOKUP(Tableau1[[#This Row],[Code]],'Code Véhicule'!$A$4:$C$85,3,FALSE))," ",VLOOKUP(Tableau1[[#This Row],[Code]],'Code Véhicule'!$A$4:$C$85,3,FALSE))</f>
        <v xml:space="preserve"> </v>
      </c>
      <c r="E82" s="6">
        <v>568</v>
      </c>
      <c r="F82" s="6" t="s">
        <v>74</v>
      </c>
      <c r="G82" s="6" t="s">
        <v>75</v>
      </c>
      <c r="H82" s="14"/>
      <c r="I82" s="7" t="s">
        <v>79</v>
      </c>
    </row>
    <row r="83" spans="1:9" ht="18.95" customHeight="1" thickBot="1">
      <c r="A83" s="5">
        <v>43509</v>
      </c>
      <c r="B83" s="6" t="str">
        <f>IF(ISNA(VLOOKUP(Tableau1[[#This Row],[Code]],'Code Véhicule'!$A$4:$C$85,2,FALSE))," ",VLOOKUP(Tableau1[[#This Row],[Code]],'Code Véhicule'!$A$4:$C$85,2,FALSE))</f>
        <v xml:space="preserve"> </v>
      </c>
      <c r="C83" s="6" t="s">
        <v>16</v>
      </c>
      <c r="D83" s="6" t="str">
        <f>IF(ISNA(VLOOKUP(Tableau1[[#This Row],[Code]],'Code Véhicule'!$A$4:$C$85,3,FALSE))," ",VLOOKUP(Tableau1[[#This Row],[Code]],'Code Véhicule'!$A$4:$C$85,3,FALSE))</f>
        <v xml:space="preserve"> </v>
      </c>
      <c r="E83" s="6">
        <v>582</v>
      </c>
      <c r="F83" s="6" t="s">
        <v>188</v>
      </c>
      <c r="G83" s="6" t="s">
        <v>189</v>
      </c>
      <c r="H83" s="14"/>
      <c r="I83" s="7" t="s">
        <v>79</v>
      </c>
    </row>
    <row r="84" spans="1:9" ht="18.95" customHeight="1" thickBot="1">
      <c r="A84" s="5">
        <v>43509</v>
      </c>
      <c r="B84" s="6" t="str">
        <f>IF(ISNA(VLOOKUP(Tableau1[[#This Row],[Code]],'Code Véhicule'!$A$4:$C$85,2,FALSE))," ",VLOOKUP(Tableau1[[#This Row],[Code]],'Code Véhicule'!$A$4:$C$85,2,FALSE))</f>
        <v xml:space="preserve"> </v>
      </c>
      <c r="C84" s="6" t="s">
        <v>12</v>
      </c>
      <c r="D84" s="6" t="str">
        <f>IF(ISNA(VLOOKUP(Tableau1[[#This Row],[Code]],'Code Véhicule'!$A$4:$C$85,3,FALSE))," ",VLOOKUP(Tableau1[[#This Row],[Code]],'Code Véhicule'!$A$4:$C$85,3,FALSE))</f>
        <v xml:space="preserve"> </v>
      </c>
      <c r="E84" s="6">
        <v>560</v>
      </c>
      <c r="F84" s="6" t="s">
        <v>98</v>
      </c>
      <c r="G84" s="6" t="s">
        <v>190</v>
      </c>
      <c r="H84" s="14"/>
      <c r="I84" s="7" t="s">
        <v>79</v>
      </c>
    </row>
    <row r="85" spans="1:9" ht="18.95" customHeight="1" thickBot="1">
      <c r="A85" s="5">
        <v>43510</v>
      </c>
      <c r="B85" s="6" t="str">
        <f>IF(ISNA(VLOOKUP(Tableau1[[#This Row],[Code]],'Code Véhicule'!$A$4:$C$85,2,FALSE))," ",VLOOKUP(Tableau1[[#This Row],[Code]],'Code Véhicule'!$A$4:$C$85,2,FALSE))</f>
        <v xml:space="preserve"> </v>
      </c>
      <c r="C85" s="6" t="s">
        <v>12</v>
      </c>
      <c r="D85" s="6" t="str">
        <f>IF(ISNA(VLOOKUP(Tableau1[[#This Row],[Code]],'Code Véhicule'!$A$4:$C$85,3,FALSE))," ",VLOOKUP(Tableau1[[#This Row],[Code]],'Code Véhicule'!$A$4:$C$85,3,FALSE))</f>
        <v xml:space="preserve"> </v>
      </c>
      <c r="E85" s="6">
        <v>800</v>
      </c>
      <c r="F85" s="6" t="s">
        <v>191</v>
      </c>
      <c r="G85" s="6" t="s">
        <v>239</v>
      </c>
      <c r="H85" s="14"/>
      <c r="I85" s="7"/>
    </row>
    <row r="86" spans="1:9" ht="18.95" customHeight="1" thickBot="1">
      <c r="A86" s="5">
        <v>43516</v>
      </c>
      <c r="B86" s="6" t="str">
        <f>IF(ISNA(VLOOKUP(Tableau1[[#This Row],[Code]],'Code Véhicule'!$A$4:$C$85,2,FALSE))," ",VLOOKUP(Tableau1[[#This Row],[Code]],'Code Véhicule'!$A$4:$C$85,2,FALSE))</f>
        <v xml:space="preserve"> </v>
      </c>
      <c r="C86" s="6" t="s">
        <v>12</v>
      </c>
      <c r="D86" s="6" t="str">
        <f>IF(ISNA(VLOOKUP(Tableau1[[#This Row],[Code]],'Code Véhicule'!$A$4:$C$85,3,FALSE))," ",VLOOKUP(Tableau1[[#This Row],[Code]],'Code Véhicule'!$A$4:$C$85,3,FALSE))</f>
        <v xml:space="preserve"> </v>
      </c>
      <c r="E86" s="6">
        <v>568</v>
      </c>
      <c r="F86" s="6" t="s">
        <v>74</v>
      </c>
      <c r="G86" s="6" t="s">
        <v>141</v>
      </c>
      <c r="H86" s="14"/>
      <c r="I86" s="18" t="s">
        <v>198</v>
      </c>
    </row>
    <row r="87" spans="1:9" ht="18.95" customHeight="1" thickBot="1">
      <c r="A87" s="5">
        <v>43519</v>
      </c>
      <c r="B87" s="6" t="str">
        <f>IF(ISNA(VLOOKUP(Tableau1[[#This Row],[Code]],'Code Véhicule'!$A$4:$C$85,2,FALSE))," ",VLOOKUP(Tableau1[[#This Row],[Code]],'Code Véhicule'!$A$4:$C$85,2,FALSE))</f>
        <v xml:space="preserve"> </v>
      </c>
      <c r="C87" s="6" t="s">
        <v>12</v>
      </c>
      <c r="D87" s="6" t="str">
        <f>IF(ISNA(VLOOKUP(Tableau1[[#This Row],[Code]],'Code Véhicule'!$A$4:$C$85,3,FALSE))," ",VLOOKUP(Tableau1[[#This Row],[Code]],'Code Véhicule'!$A$4:$C$85,3,FALSE))</f>
        <v xml:space="preserve"> </v>
      </c>
      <c r="E87" s="6">
        <v>560</v>
      </c>
      <c r="F87" s="6" t="s">
        <v>98</v>
      </c>
      <c r="G87" s="6" t="s">
        <v>194</v>
      </c>
      <c r="H87" s="14"/>
      <c r="I87" s="7" t="s">
        <v>79</v>
      </c>
    </row>
    <row r="88" spans="1:9" ht="18.95" customHeight="1" thickBot="1">
      <c r="A88" s="5">
        <v>43519</v>
      </c>
      <c r="B88" s="6" t="str">
        <f>IF(ISNA(VLOOKUP(Tableau1[[#This Row],[Code]],'Code Véhicule'!$A$4:$C$85,2,FALSE))," ",VLOOKUP(Tableau1[[#This Row],[Code]],'Code Véhicule'!$A$4:$C$85,2,FALSE))</f>
        <v xml:space="preserve"> </v>
      </c>
      <c r="C88" s="6" t="s">
        <v>12</v>
      </c>
      <c r="D88" s="6" t="str">
        <f>IF(ISNA(VLOOKUP(Tableau1[[#This Row],[Code]],'Code Véhicule'!$A$4:$C$85,3,FALSE))," ",VLOOKUP(Tableau1[[#This Row],[Code]],'Code Véhicule'!$A$4:$C$85,3,FALSE))</f>
        <v xml:space="preserve"> </v>
      </c>
      <c r="E88" s="6">
        <v>573</v>
      </c>
      <c r="F88" s="6" t="s">
        <v>195</v>
      </c>
      <c r="G88" s="6" t="s">
        <v>196</v>
      </c>
      <c r="H88" s="14"/>
      <c r="I88" s="18" t="s">
        <v>197</v>
      </c>
    </row>
    <row r="89" spans="1:9" ht="18.95" customHeight="1" thickBot="1">
      <c r="A89" s="5">
        <v>43521</v>
      </c>
      <c r="B89" s="6" t="str">
        <f>IF(ISNA(VLOOKUP(Tableau1[[#This Row],[Code]],'Code Véhicule'!$A$4:$C$85,2,FALSE))," ",VLOOKUP(Tableau1[[#This Row],[Code]],'Code Véhicule'!$A$4:$C$85,2,FALSE))</f>
        <v xml:space="preserve"> </v>
      </c>
      <c r="C89" s="6" t="s">
        <v>12</v>
      </c>
      <c r="D89" s="6" t="str">
        <f>IF(ISNA(VLOOKUP(Tableau1[[#This Row],[Code]],'Code Véhicule'!$A$4:$C$85,3,FALSE))," ",VLOOKUP(Tableau1[[#This Row],[Code]],'Code Véhicule'!$A$4:$C$85,3,FALSE))</f>
        <v xml:space="preserve"> </v>
      </c>
      <c r="E89" s="6">
        <v>560</v>
      </c>
      <c r="F89" s="6" t="s">
        <v>98</v>
      </c>
      <c r="G89" s="6" t="s">
        <v>193</v>
      </c>
      <c r="H89" s="14"/>
      <c r="I89" s="7" t="s">
        <v>79</v>
      </c>
    </row>
    <row r="90" spans="1:9" ht="18.95" customHeight="1" thickBot="1">
      <c r="A90" s="5">
        <v>43522</v>
      </c>
      <c r="B90" s="6" t="str">
        <f>IF(ISNA(VLOOKUP(Tableau1[[#This Row],[Code]],'Code Véhicule'!$A$4:$C$85,2,FALSE))," ",VLOOKUP(Tableau1[[#This Row],[Code]],'Code Véhicule'!$A$4:$C$85,2,FALSE))</f>
        <v xml:space="preserve"> </v>
      </c>
      <c r="C90" s="6" t="s">
        <v>12</v>
      </c>
      <c r="D90" s="6" t="str">
        <f>IF(ISNA(VLOOKUP(Tableau1[[#This Row],[Code]],'Code Véhicule'!$A$4:$C$85,3,FALSE))," ",VLOOKUP(Tableau1[[#This Row],[Code]],'Code Véhicule'!$A$4:$C$85,3,FALSE))</f>
        <v xml:space="preserve"> </v>
      </c>
      <c r="E90" s="6">
        <v>560</v>
      </c>
      <c r="F90" s="6" t="s">
        <v>98</v>
      </c>
      <c r="G90" s="6" t="s">
        <v>192</v>
      </c>
      <c r="H90" s="14"/>
      <c r="I90" s="7" t="s">
        <v>79</v>
      </c>
    </row>
    <row r="91" spans="1:9" ht="18.95" customHeight="1" thickBot="1">
      <c r="A91" s="5">
        <v>43522</v>
      </c>
      <c r="B91" s="6" t="str">
        <f>IF(ISNA(VLOOKUP(Tableau1[[#This Row],[Code]],'Code Véhicule'!$A$4:$C$85,2,FALSE))," ",VLOOKUP(Tableau1[[#This Row],[Code]],'Code Véhicule'!$A$4:$C$85,2,FALSE))</f>
        <v xml:space="preserve"> </v>
      </c>
      <c r="C91" s="6" t="s">
        <v>12</v>
      </c>
      <c r="D91" s="6" t="str">
        <f>IF(ISNA(VLOOKUP(Tableau1[[#This Row],[Code]],'Code Véhicule'!$A$4:$C$85,3,FALSE))," ",VLOOKUP(Tableau1[[#This Row],[Code]],'Code Véhicule'!$A$4:$C$85,3,FALSE))</f>
        <v xml:space="preserve"> </v>
      </c>
      <c r="E91" s="6">
        <v>568</v>
      </c>
      <c r="F91" s="6" t="s">
        <v>74</v>
      </c>
      <c r="G91" s="6" t="s">
        <v>199</v>
      </c>
      <c r="H91" s="14"/>
      <c r="I91" s="18" t="s">
        <v>200</v>
      </c>
    </row>
    <row r="92" spans="1:9" ht="18.95" customHeight="1" thickBot="1">
      <c r="A92" s="5">
        <v>43523</v>
      </c>
      <c r="B92" s="6" t="str">
        <f>IF(ISNA(VLOOKUP(Tableau1[[#This Row],[Code]],'Code Véhicule'!$A$4:$C$85,2,FALSE))," ",VLOOKUP(Tableau1[[#This Row],[Code]],'Code Véhicule'!$A$4:$C$85,2,FALSE))</f>
        <v xml:space="preserve"> </v>
      </c>
      <c r="C92" s="6" t="s">
        <v>12</v>
      </c>
      <c r="D92" s="6" t="str">
        <f>IF(ISNA(VLOOKUP(Tableau1[[#This Row],[Code]],'Code Véhicule'!$A$4:$C$85,3,FALSE))," ",VLOOKUP(Tableau1[[#This Row],[Code]],'Code Véhicule'!$A$4:$C$85,3,FALSE))</f>
        <v xml:space="preserve"> </v>
      </c>
      <c r="E92" s="6">
        <v>800</v>
      </c>
      <c r="F92" s="6" t="s">
        <v>201</v>
      </c>
      <c r="G92" s="6" t="s">
        <v>202</v>
      </c>
      <c r="H92" s="14"/>
      <c r="I92" s="7" t="s">
        <v>79</v>
      </c>
    </row>
    <row r="93" spans="1:9" ht="18.95" customHeight="1" thickBot="1">
      <c r="A93" s="5">
        <v>43523</v>
      </c>
      <c r="B93" s="6" t="str">
        <f>IF(ISNA(VLOOKUP(Tableau1[[#This Row],[Code]],'Code Véhicule'!$A$4:$C$85,2,FALSE))," ",VLOOKUP(Tableau1[[#This Row],[Code]],'Code Véhicule'!$A$4:$C$85,2,FALSE))</f>
        <v xml:space="preserve"> </v>
      </c>
      <c r="C93" s="6" t="s">
        <v>12</v>
      </c>
      <c r="D93" s="6" t="str">
        <f>IF(ISNA(VLOOKUP(Tableau1[[#This Row],[Code]],'Code Véhicule'!$A$4:$C$85,3,FALSE))," ",VLOOKUP(Tableau1[[#This Row],[Code]],'Code Véhicule'!$A$4:$C$85,3,FALSE))</f>
        <v xml:space="preserve"> </v>
      </c>
      <c r="E93" s="6">
        <v>700</v>
      </c>
      <c r="F93" s="6" t="s">
        <v>39</v>
      </c>
      <c r="G93" s="6" t="s">
        <v>203</v>
      </c>
      <c r="H93" s="14"/>
      <c r="I93" s="7" t="s">
        <v>79</v>
      </c>
    </row>
    <row r="94" spans="1:9" ht="18.95" customHeight="1" thickBot="1">
      <c r="A94" s="5">
        <v>43525</v>
      </c>
      <c r="B94" s="6" t="str">
        <f>IF(ISNA(VLOOKUP(Tableau1[[#This Row],[Code]],'Code Véhicule'!$A$4:$C$85,2,FALSE))," ",VLOOKUP(Tableau1[[#This Row],[Code]],'Code Véhicule'!$A$4:$C$85,2,FALSE))</f>
        <v xml:space="preserve"> </v>
      </c>
      <c r="C94" s="6" t="s">
        <v>12</v>
      </c>
      <c r="D94" s="6" t="str">
        <f>IF(ISNA(VLOOKUP(Tableau1[[#This Row],[Code]],'Code Véhicule'!$A$4:$C$85,3,FALSE))," ",VLOOKUP(Tableau1[[#This Row],[Code]],'Code Véhicule'!$A$4:$C$85,3,FALSE))</f>
        <v xml:space="preserve"> </v>
      </c>
      <c r="E94" s="6">
        <v>581</v>
      </c>
      <c r="F94" s="6" t="s">
        <v>211</v>
      </c>
      <c r="G94" s="6" t="s">
        <v>213</v>
      </c>
      <c r="H94" s="14"/>
      <c r="I94" s="7" t="s">
        <v>79</v>
      </c>
    </row>
    <row r="95" spans="1:9" ht="15" customHeight="1" thickBot="1">
      <c r="A95" s="5">
        <v>43526</v>
      </c>
      <c r="B95" s="6" t="str">
        <f>IF(ISNA(VLOOKUP(Tableau1[[#This Row],[Code]],'Code Véhicule'!$A$4:$C$85,2,FALSE))," ",VLOOKUP(Tableau1[[#This Row],[Code]],'Code Véhicule'!$A$4:$C$85,2,FALSE))</f>
        <v xml:space="preserve"> </v>
      </c>
      <c r="C95" s="6" t="s">
        <v>12</v>
      </c>
      <c r="D95" s="6" t="str">
        <f>IF(ISNA(VLOOKUP(Tableau1[[#This Row],[Code]],'Code Véhicule'!$A$4:$C$85,3,FALSE))," ",VLOOKUP(Tableau1[[#This Row],[Code]],'Code Véhicule'!$A$4:$C$85,3,FALSE))</f>
        <v xml:space="preserve"> </v>
      </c>
      <c r="E95" s="6">
        <v>560</v>
      </c>
      <c r="F95" s="6" t="s">
        <v>98</v>
      </c>
      <c r="G95" s="6" t="s">
        <v>190</v>
      </c>
      <c r="H95" s="14"/>
      <c r="I95" s="7"/>
    </row>
    <row r="96" spans="1:9" ht="15" customHeight="1" thickBot="1">
      <c r="A96" s="5">
        <v>43528</v>
      </c>
      <c r="B96" s="6" t="str">
        <f>IF(ISNA(VLOOKUP(Tableau1[[#This Row],[Code]],'Code Véhicule'!$A$4:$C$85,2,FALSE))," ",VLOOKUP(Tableau1[[#This Row],[Code]],'Code Véhicule'!$A$4:$C$85,2,FALSE))</f>
        <v xml:space="preserve"> </v>
      </c>
      <c r="C96" s="6" t="s">
        <v>12</v>
      </c>
      <c r="D96" s="6" t="str">
        <f>IF(ISNA(VLOOKUP(Tableau1[[#This Row],[Code]],'Code Véhicule'!$A$4:$C$85,3,FALSE))," ",VLOOKUP(Tableau1[[#This Row],[Code]],'Code Véhicule'!$A$4:$C$85,3,FALSE))</f>
        <v xml:space="preserve"> </v>
      </c>
      <c r="E96" s="6">
        <v>800</v>
      </c>
      <c r="F96" s="6" t="s">
        <v>204</v>
      </c>
      <c r="G96" s="6" t="s">
        <v>234</v>
      </c>
      <c r="H96" s="14"/>
      <c r="I96" s="18" t="s">
        <v>235</v>
      </c>
    </row>
    <row r="97" spans="1:9" ht="15" customHeight="1" thickBot="1">
      <c r="A97" s="5">
        <v>43528</v>
      </c>
      <c r="B97" s="6" t="str">
        <f>IF(ISNA(VLOOKUP(Tableau1[[#This Row],[Code]],'Code Véhicule'!$A$4:$C$85,2,FALSE))," ",VLOOKUP(Tableau1[[#This Row],[Code]],'Code Véhicule'!$A$4:$C$85,2,FALSE))</f>
        <v xml:space="preserve"> </v>
      </c>
      <c r="C97" s="6" t="s">
        <v>12</v>
      </c>
      <c r="D97" s="6" t="str">
        <f>IF(ISNA(VLOOKUP(Tableau1[[#This Row],[Code]],'Code Véhicule'!$A$4:$C$85,3,FALSE))," ",VLOOKUP(Tableau1[[#This Row],[Code]],'Code Véhicule'!$A$4:$C$85,3,FALSE))</f>
        <v xml:space="preserve"> </v>
      </c>
      <c r="E97" s="6">
        <v>700</v>
      </c>
      <c r="F97" s="6" t="s">
        <v>112</v>
      </c>
      <c r="G97" s="6" t="s">
        <v>113</v>
      </c>
      <c r="H97" s="14"/>
      <c r="I97" s="7" t="s">
        <v>79</v>
      </c>
    </row>
    <row r="98" spans="1:9" ht="15" customHeight="1" thickBot="1">
      <c r="A98" s="5">
        <v>43528</v>
      </c>
      <c r="B98" s="6" t="str">
        <f>IF(ISNA(VLOOKUP(Tableau1[[#This Row],[Code]],'Code Véhicule'!$A$4:$C$85,2,FALSE))," ",VLOOKUP(Tableau1[[#This Row],[Code]],'Code Véhicule'!$A$4:$C$85,2,FALSE))</f>
        <v xml:space="preserve"> </v>
      </c>
      <c r="C98" s="6" t="s">
        <v>12</v>
      </c>
      <c r="D98" s="6" t="str">
        <f>IF(ISNA(VLOOKUP(Tableau1[[#This Row],[Code]],'Code Véhicule'!$A$4:$C$85,3,FALSE))," ",VLOOKUP(Tableau1[[#This Row],[Code]],'Code Véhicule'!$A$4:$C$85,3,FALSE))</f>
        <v xml:space="preserve"> </v>
      </c>
      <c r="E98" s="6">
        <v>565</v>
      </c>
      <c r="F98" s="6" t="s">
        <v>98</v>
      </c>
      <c r="G98" s="6" t="s">
        <v>214</v>
      </c>
      <c r="H98" s="14"/>
      <c r="I98" s="7"/>
    </row>
    <row r="99" spans="1:9" ht="15" customHeight="1" thickBot="1">
      <c r="A99" s="5">
        <v>43530</v>
      </c>
      <c r="B99" s="6" t="str">
        <f>IF(ISNA(VLOOKUP(Tableau1[[#This Row],[Code]],'Code Véhicule'!$A$4:$C$85,2,FALSE))," ",VLOOKUP(Tableau1[[#This Row],[Code]],'Code Véhicule'!$A$4:$C$85,2,FALSE))</f>
        <v xml:space="preserve"> </v>
      </c>
      <c r="C99" s="6" t="s">
        <v>12</v>
      </c>
      <c r="D99" s="6" t="str">
        <f>IF(ISNA(VLOOKUP(Tableau1[[#This Row],[Code]],'Code Véhicule'!$A$4:$C$85,3,FALSE))," ",VLOOKUP(Tableau1[[#This Row],[Code]],'Code Véhicule'!$A$4:$C$85,3,FALSE))</f>
        <v xml:space="preserve"> </v>
      </c>
      <c r="E99" s="6">
        <v>573</v>
      </c>
      <c r="F99" s="6" t="s">
        <v>48</v>
      </c>
      <c r="G99" s="6" t="s">
        <v>149</v>
      </c>
      <c r="H99" s="14"/>
      <c r="I99" s="7"/>
    </row>
    <row r="100" spans="1:9" ht="15" customHeight="1" thickBot="1">
      <c r="A100" s="5">
        <v>43530</v>
      </c>
      <c r="B100" s="6" t="str">
        <f>IF(ISNA(VLOOKUP(Tableau1[[#This Row],[Code]],'Code Véhicule'!$A$4:$C$85,2,FALSE))," ",VLOOKUP(Tableau1[[#This Row],[Code]],'Code Véhicule'!$A$4:$C$85,2,FALSE))</f>
        <v xml:space="preserve"> </v>
      </c>
      <c r="C100" s="6" t="s">
        <v>12</v>
      </c>
      <c r="D100" s="6" t="str">
        <f>IF(ISNA(VLOOKUP(Tableau1[[#This Row],[Code]],'Code Véhicule'!$A$4:$C$85,3,FALSE))," ",VLOOKUP(Tableau1[[#This Row],[Code]],'Code Véhicule'!$A$4:$C$85,3,FALSE))</f>
        <v xml:space="preserve"> </v>
      </c>
      <c r="E100" s="6">
        <v>584</v>
      </c>
      <c r="F100" s="6" t="s">
        <v>32</v>
      </c>
      <c r="G100" s="6" t="s">
        <v>247</v>
      </c>
      <c r="H100" s="14"/>
      <c r="I100" s="7"/>
    </row>
    <row r="101" spans="1:9" ht="15" customHeight="1" thickBot="1">
      <c r="A101" s="5">
        <v>43530</v>
      </c>
      <c r="B101" s="6" t="str">
        <f>IF(ISNA(VLOOKUP(Tableau1[[#This Row],[Code]],'Code Véhicule'!$A$4:$C$85,2,FALSE))," ",VLOOKUP(Tableau1[[#This Row],[Code]],'Code Véhicule'!$A$4:$C$85,2,FALSE))</f>
        <v xml:space="preserve"> </v>
      </c>
      <c r="C101" s="6" t="s">
        <v>12</v>
      </c>
      <c r="D101" s="6" t="str">
        <f>IF(ISNA(VLOOKUP(Tableau1[[#This Row],[Code]],'Code Véhicule'!$A$4:$C$85,3,FALSE))," ",VLOOKUP(Tableau1[[#This Row],[Code]],'Code Véhicule'!$A$4:$C$85,3,FALSE))</f>
        <v xml:space="preserve"> </v>
      </c>
      <c r="E101" s="6">
        <v>562</v>
      </c>
      <c r="F101" s="6" t="s">
        <v>32</v>
      </c>
      <c r="G101" s="6" t="s">
        <v>215</v>
      </c>
      <c r="H101" s="14"/>
      <c r="I101" s="7"/>
    </row>
    <row r="102" spans="1:9" ht="15" customHeight="1" thickBot="1">
      <c r="A102" s="5">
        <v>43531</v>
      </c>
      <c r="B102" s="6" t="str">
        <f>IF(ISNA(VLOOKUP(Tableau1[[#This Row],[Code]],'Code Véhicule'!$A$4:$C$85,2,FALSE))," ",VLOOKUP(Tableau1[[#This Row],[Code]],'Code Véhicule'!$A$4:$C$85,2,FALSE))</f>
        <v xml:space="preserve"> </v>
      </c>
      <c r="C102" s="6" t="s">
        <v>12</v>
      </c>
      <c r="D102" s="6" t="str">
        <f>IF(ISNA(VLOOKUP(Tableau1[[#This Row],[Code]],'Code Véhicule'!$A$4:$C$85,3,FALSE))," ",VLOOKUP(Tableau1[[#This Row],[Code]],'Code Véhicule'!$A$4:$C$85,3,FALSE))</f>
        <v xml:space="preserve"> </v>
      </c>
      <c r="E102" s="6">
        <v>570</v>
      </c>
      <c r="F102" s="6" t="s">
        <v>216</v>
      </c>
      <c r="G102" s="6" t="s">
        <v>217</v>
      </c>
      <c r="H102" s="14"/>
      <c r="I102" s="7"/>
    </row>
    <row r="103" spans="1:9" ht="15" customHeight="1" thickBot="1">
      <c r="A103" s="5">
        <v>43531</v>
      </c>
      <c r="B103" s="6" t="str">
        <f>IF(ISNA(VLOOKUP(Tableau1[[#This Row],[Code]],'Code Véhicule'!$A$4:$C$85,2,FALSE))," ",VLOOKUP(Tableau1[[#This Row],[Code]],'Code Véhicule'!$A$4:$C$85,2,FALSE))</f>
        <v xml:space="preserve"> </v>
      </c>
      <c r="C103" s="6" t="s">
        <v>12</v>
      </c>
      <c r="D103" s="6" t="str">
        <f>IF(ISNA(VLOOKUP(Tableau1[[#This Row],[Code]],'Code Véhicule'!$A$4:$C$85,3,FALSE))," ",VLOOKUP(Tableau1[[#This Row],[Code]],'Code Véhicule'!$A$4:$C$85,3,FALSE))</f>
        <v xml:space="preserve"> </v>
      </c>
      <c r="E103" s="6">
        <v>590</v>
      </c>
      <c r="F103" s="6" t="s">
        <v>191</v>
      </c>
      <c r="G103" s="6" t="s">
        <v>218</v>
      </c>
      <c r="H103" s="14"/>
      <c r="I103" s="7"/>
    </row>
    <row r="104" spans="1:9" ht="15" customHeight="1" thickBot="1">
      <c r="A104" s="5">
        <v>43531</v>
      </c>
      <c r="B104" s="6" t="str">
        <f>IF(ISNA(VLOOKUP(Tableau1[[#This Row],[Code]],'Code Véhicule'!$A$4:$C$85,2,FALSE))," ",VLOOKUP(Tableau1[[#This Row],[Code]],'Code Véhicule'!$A$4:$C$85,2,FALSE))</f>
        <v xml:space="preserve"> </v>
      </c>
      <c r="C104" s="6" t="s">
        <v>12</v>
      </c>
      <c r="D104" s="6" t="str">
        <f>IF(ISNA(VLOOKUP(Tableau1[[#This Row],[Code]],'Code Véhicule'!$A$4:$C$85,3,FALSE))," ",VLOOKUP(Tableau1[[#This Row],[Code]],'Code Véhicule'!$A$4:$C$85,3,FALSE))</f>
        <v xml:space="preserve"> </v>
      </c>
      <c r="E104" s="6">
        <v>583</v>
      </c>
      <c r="F104" s="6" t="s">
        <v>74</v>
      </c>
      <c r="G104" s="6" t="s">
        <v>248</v>
      </c>
      <c r="H104" s="14"/>
      <c r="I104" s="7"/>
    </row>
    <row r="105" spans="1:9" ht="15" customHeight="1" thickBot="1">
      <c r="A105" s="5">
        <v>43531</v>
      </c>
      <c r="B105" s="6" t="str">
        <f>IF(ISNA(VLOOKUP(Tableau1[[#This Row],[Code]],'Code Véhicule'!$A$4:$C$85,2,FALSE))," ",VLOOKUP(Tableau1[[#This Row],[Code]],'Code Véhicule'!$A$4:$C$85,2,FALSE))</f>
        <v xml:space="preserve"> </v>
      </c>
      <c r="C105" s="6" t="s">
        <v>12</v>
      </c>
      <c r="D105" s="6" t="str">
        <f>IF(ISNA(VLOOKUP(Tableau1[[#This Row],[Code]],'Code Véhicule'!$A$4:$C$85,3,FALSE))," ",VLOOKUP(Tableau1[[#This Row],[Code]],'Code Véhicule'!$A$4:$C$85,3,FALSE))</f>
        <v xml:space="preserve"> </v>
      </c>
      <c r="E105" s="6">
        <v>800</v>
      </c>
      <c r="F105" s="6" t="s">
        <v>226</v>
      </c>
      <c r="G105" s="6" t="s">
        <v>227</v>
      </c>
      <c r="H105" s="14"/>
      <c r="I105" s="7" t="s">
        <v>79</v>
      </c>
    </row>
    <row r="106" spans="1:9" ht="15" customHeight="1" thickBot="1">
      <c r="A106" s="5">
        <v>43531</v>
      </c>
      <c r="B106" s="6" t="str">
        <f>IF(ISNA(VLOOKUP(Tableau1[[#This Row],[Code]],'Code Véhicule'!$A$4:$C$85,2,FALSE))," ",VLOOKUP(Tableau1[[#This Row],[Code]],'Code Véhicule'!$A$4:$C$85,2,FALSE))</f>
        <v xml:space="preserve"> </v>
      </c>
      <c r="C106" s="6" t="s">
        <v>101</v>
      </c>
      <c r="D106" s="6" t="str">
        <f>IF(ISNA(VLOOKUP(Tableau1[[#This Row],[Code]],'Code Véhicule'!$A$4:$C$85,3,FALSE))," ",VLOOKUP(Tableau1[[#This Row],[Code]],'Code Véhicule'!$A$4:$C$85,3,FALSE))</f>
        <v xml:space="preserve"> </v>
      </c>
      <c r="E106" s="6">
        <v>581</v>
      </c>
      <c r="F106" s="6" t="s">
        <v>65</v>
      </c>
      <c r="G106" s="6" t="s">
        <v>249</v>
      </c>
      <c r="H106" s="14"/>
      <c r="I106" s="18" t="s">
        <v>250</v>
      </c>
    </row>
    <row r="107" spans="1:9" ht="15" customHeight="1" thickBot="1">
      <c r="A107" s="5">
        <v>43532</v>
      </c>
      <c r="B107" s="6" t="str">
        <f>IF(ISNA(VLOOKUP(Tableau1[[#This Row],[Code]],'Code Véhicule'!$A$4:$C$85,2,FALSE))," ",VLOOKUP(Tableau1[[#This Row],[Code]],'Code Véhicule'!$A$4:$C$85,2,FALSE))</f>
        <v xml:space="preserve"> </v>
      </c>
      <c r="C107" s="6" t="s">
        <v>12</v>
      </c>
      <c r="D107" s="6" t="str">
        <f>IF(ISNA(VLOOKUP(Tableau1[[#This Row],[Code]],'Code Véhicule'!$A$4:$C$85,3,FALSE))," ",VLOOKUP(Tableau1[[#This Row],[Code]],'Code Véhicule'!$A$4:$C$85,3,FALSE))</f>
        <v xml:space="preserve"> </v>
      </c>
      <c r="E107" s="6">
        <v>601</v>
      </c>
      <c r="F107" s="10"/>
      <c r="G107" s="6"/>
      <c r="H107" s="14"/>
      <c r="I107" s="7"/>
    </row>
    <row r="108" spans="1:9" ht="15" customHeight="1" thickBot="1">
      <c r="A108" s="11">
        <v>43532</v>
      </c>
      <c r="B108" s="6" t="str">
        <f>IF(ISNA(VLOOKUP(Tableau1[[#This Row],[Code]],'Code Véhicule'!$A$4:$C$85,2,FALSE))," ",VLOOKUP(Tableau1[[#This Row],[Code]],'Code Véhicule'!$A$4:$C$85,2,FALSE))</f>
        <v xml:space="preserve"> </v>
      </c>
      <c r="C108" s="12" t="s">
        <v>12</v>
      </c>
      <c r="D108" s="6" t="str">
        <f>IF(ISNA(VLOOKUP(Tableau1[[#This Row],[Code]],'Code Véhicule'!$A$4:$C$85,3,FALSE))," ",VLOOKUP(Tableau1[[#This Row],[Code]],'Code Véhicule'!$A$4:$C$85,3,FALSE))</f>
        <v xml:space="preserve"> </v>
      </c>
      <c r="E108" s="12">
        <v>565</v>
      </c>
      <c r="F108" s="12" t="s">
        <v>138</v>
      </c>
      <c r="G108" s="6" t="s">
        <v>246</v>
      </c>
      <c r="H108" s="16"/>
      <c r="I108" s="13"/>
    </row>
    <row r="109" spans="1:9" ht="15.75" thickBot="1">
      <c r="A109" s="11">
        <v>43532</v>
      </c>
      <c r="B109" s="6" t="str">
        <f>IF(ISNA(VLOOKUP(Tableau1[[#This Row],[Code]],'Code Véhicule'!$A$4:$C$85,2,FALSE))," ",VLOOKUP(Tableau1[[#This Row],[Code]],'Code Véhicule'!$A$4:$C$85,2,FALSE))</f>
        <v xml:space="preserve"> </v>
      </c>
      <c r="C109" s="12" t="s">
        <v>12</v>
      </c>
      <c r="D109" s="6" t="str">
        <f>IF(ISNA(VLOOKUP(Tableau1[[#This Row],[Code]],'Code Véhicule'!$A$4:$C$85,3,FALSE))," ",VLOOKUP(Tableau1[[#This Row],[Code]],'Code Véhicule'!$A$4:$C$85,3,FALSE))</f>
        <v xml:space="preserve"> </v>
      </c>
      <c r="E109" s="12">
        <v>800</v>
      </c>
      <c r="F109" s="12" t="s">
        <v>228</v>
      </c>
      <c r="G109" s="12" t="s">
        <v>229</v>
      </c>
      <c r="H109" s="16"/>
      <c r="I109" s="17" t="s">
        <v>236</v>
      </c>
    </row>
    <row r="110" spans="1:9" ht="15.75" thickBot="1">
      <c r="A110" s="11">
        <v>43536</v>
      </c>
      <c r="B110" s="6" t="str">
        <f>IF(ISNA(VLOOKUP(Tableau1[[#This Row],[Code]],'Code Véhicule'!$A$4:$C$85,2,FALSE))," ",VLOOKUP(Tableau1[[#This Row],[Code]],'Code Véhicule'!$A$4:$C$85,2,FALSE))</f>
        <v xml:space="preserve"> </v>
      </c>
      <c r="C110" s="12" t="s">
        <v>12</v>
      </c>
      <c r="D110" s="6" t="str">
        <f>IF(ISNA(VLOOKUP(Tableau1[[#This Row],[Code]],'Code Véhicule'!$A$4:$C$85,3,FALSE))," ",VLOOKUP(Tableau1[[#This Row],[Code]],'Code Véhicule'!$A$4:$C$85,3,FALSE))</f>
        <v xml:space="preserve"> </v>
      </c>
      <c r="E110" s="12">
        <v>565</v>
      </c>
      <c r="F110" s="12" t="s">
        <v>138</v>
      </c>
      <c r="G110" s="12" t="s">
        <v>219</v>
      </c>
      <c r="H110" s="16"/>
      <c r="I110" s="13"/>
    </row>
    <row r="111" spans="1:9" ht="15.75" thickBot="1">
      <c r="A111" s="11">
        <v>43536</v>
      </c>
      <c r="B111" s="6" t="str">
        <f>IF(ISNA(VLOOKUP(Tableau1[[#This Row],[Code]],'Code Véhicule'!$A$4:$C$85,2,FALSE))," ",VLOOKUP(Tableau1[[#This Row],[Code]],'Code Véhicule'!$A$4:$C$85,2,FALSE))</f>
        <v xml:space="preserve"> </v>
      </c>
      <c r="C111" s="12" t="s">
        <v>12</v>
      </c>
      <c r="D111" s="6" t="str">
        <f>IF(ISNA(VLOOKUP(Tableau1[[#This Row],[Code]],'Code Véhicule'!$A$4:$C$85,3,FALSE))," ",VLOOKUP(Tableau1[[#This Row],[Code]],'Code Véhicule'!$A$4:$C$85,3,FALSE))</f>
        <v xml:space="preserve"> </v>
      </c>
      <c r="E111" s="12">
        <v>800</v>
      </c>
      <c r="F111" s="12" t="s">
        <v>237</v>
      </c>
      <c r="G111" s="12" t="s">
        <v>234</v>
      </c>
      <c r="H111" s="16"/>
      <c r="I111" s="17" t="s">
        <v>238</v>
      </c>
    </row>
    <row r="112" spans="1:9" ht="15.75" thickBot="1">
      <c r="A112" s="11">
        <v>43536</v>
      </c>
      <c r="B112" s="6" t="str">
        <f>IF(ISNA(VLOOKUP(Tableau1[[#This Row],[Code]],'Code Véhicule'!$A$4:$C$85,2,FALSE))," ",VLOOKUP(Tableau1[[#This Row],[Code]],'Code Véhicule'!$A$4:$C$85,2,FALSE))</f>
        <v xml:space="preserve"> </v>
      </c>
      <c r="C112" s="12" t="s">
        <v>12</v>
      </c>
      <c r="D112" s="6" t="str">
        <f>IF(ISNA(VLOOKUP(Tableau1[[#This Row],[Code]],'Code Véhicule'!$A$4:$C$85,3,FALSE))," ",VLOOKUP(Tableau1[[#This Row],[Code]],'Code Véhicule'!$A$4:$C$85,3,FALSE))</f>
        <v xml:space="preserve"> </v>
      </c>
      <c r="E112" s="12">
        <v>700</v>
      </c>
      <c r="F112" s="12" t="s">
        <v>112</v>
      </c>
      <c r="G112" s="12" t="s">
        <v>241</v>
      </c>
      <c r="H112" s="16"/>
      <c r="I112" s="17" t="s">
        <v>242</v>
      </c>
    </row>
    <row r="113" spans="1:9" ht="15.75" thickBot="1">
      <c r="A113" s="11">
        <v>43537</v>
      </c>
      <c r="B113" s="6" t="str">
        <f>IF(ISNA(VLOOKUP(Tableau1[[#This Row],[Code]],'Code Véhicule'!$A$4:$C$85,2,FALSE))," ",VLOOKUP(Tableau1[[#This Row],[Code]],'Code Véhicule'!$A$4:$C$85,2,FALSE))</f>
        <v xml:space="preserve"> </v>
      </c>
      <c r="C113" s="12" t="s">
        <v>12</v>
      </c>
      <c r="D113" s="6" t="str">
        <f>IF(ISNA(VLOOKUP(Tableau1[[#This Row],[Code]],'Code Véhicule'!$A$4:$C$85,3,FALSE))," ",VLOOKUP(Tableau1[[#This Row],[Code]],'Code Véhicule'!$A$4:$C$85,3,FALSE))</f>
        <v xml:space="preserve"> </v>
      </c>
      <c r="E113" s="12">
        <v>560</v>
      </c>
      <c r="F113" s="12" t="s">
        <v>98</v>
      </c>
      <c r="G113" s="12" t="s">
        <v>190</v>
      </c>
      <c r="H113" s="16"/>
      <c r="I113" s="13"/>
    </row>
    <row r="114" spans="1:9" ht="15.75" thickBot="1">
      <c r="A114" s="11">
        <v>43537</v>
      </c>
      <c r="B114" s="6" t="str">
        <f>IF(ISNA(VLOOKUP(Tableau1[[#This Row],[Code]],'Code Véhicule'!$A$4:$C$85,2,FALSE))," ",VLOOKUP(Tableau1[[#This Row],[Code]],'Code Véhicule'!$A$4:$C$85,2,FALSE))</f>
        <v xml:space="preserve"> </v>
      </c>
      <c r="C114" s="12" t="s">
        <v>12</v>
      </c>
      <c r="D114" s="6" t="str">
        <f>IF(ISNA(VLOOKUP(Tableau1[[#This Row],[Code]],'Code Véhicule'!$A$4:$C$85,3,FALSE))," ",VLOOKUP(Tableau1[[#This Row],[Code]],'Code Véhicule'!$A$4:$C$85,3,FALSE))</f>
        <v xml:space="preserve"> </v>
      </c>
      <c r="E114" s="12">
        <v>581</v>
      </c>
      <c r="F114" s="12" t="s">
        <v>211</v>
      </c>
      <c r="G114" s="12" t="s">
        <v>220</v>
      </c>
      <c r="H114" s="16"/>
      <c r="I114" s="13"/>
    </row>
    <row r="115" spans="1:9" ht="15.75" thickBot="1">
      <c r="A115" s="11">
        <v>43538</v>
      </c>
      <c r="B115" s="6" t="str">
        <f>IF(ISNA(VLOOKUP(Tableau1[[#This Row],[Code]],'Code Véhicule'!$A$4:$C$85,2,FALSE))," ",VLOOKUP(Tableau1[[#This Row],[Code]],'Code Véhicule'!$A$4:$C$85,2,FALSE))</f>
        <v xml:space="preserve"> </v>
      </c>
      <c r="C115" s="12" t="s">
        <v>59</v>
      </c>
      <c r="D115" s="6" t="str">
        <f>IF(ISNA(VLOOKUP(Tableau1[[#This Row],[Code]],'Code Véhicule'!$A$4:$C$85,3,FALSE))," ",VLOOKUP(Tableau1[[#This Row],[Code]],'Code Véhicule'!$A$4:$C$85,3,FALSE))</f>
        <v xml:space="preserve"> </v>
      </c>
      <c r="E115" s="12">
        <v>573</v>
      </c>
      <c r="F115" s="12" t="s">
        <v>195</v>
      </c>
      <c r="G115" s="12" t="s">
        <v>221</v>
      </c>
      <c r="H115" s="16"/>
      <c r="I115" s="17" t="s">
        <v>222</v>
      </c>
    </row>
    <row r="116" spans="1:9" ht="15.75" thickBot="1">
      <c r="A116" s="11">
        <v>43538</v>
      </c>
      <c r="B116" s="6" t="str">
        <f>IF(ISNA(VLOOKUP(Tableau1[[#This Row],[Code]],'Code Véhicule'!$A$4:$C$85,2,FALSE))," ",VLOOKUP(Tableau1[[#This Row],[Code]],'Code Véhicule'!$A$4:$C$85,2,FALSE))</f>
        <v xml:space="preserve"> </v>
      </c>
      <c r="C116" s="12" t="s">
        <v>12</v>
      </c>
      <c r="D116" s="6" t="str">
        <f>IF(ISNA(VLOOKUP(Tableau1[[#This Row],[Code]],'Code Véhicule'!$A$4:$C$85,3,FALSE))," ",VLOOKUP(Tableau1[[#This Row],[Code]],'Code Véhicule'!$A$4:$C$85,3,FALSE))</f>
        <v xml:space="preserve"> </v>
      </c>
      <c r="E116" s="12">
        <v>800</v>
      </c>
      <c r="F116" s="12" t="s">
        <v>243</v>
      </c>
      <c r="G116" s="12" t="s">
        <v>244</v>
      </c>
      <c r="H116" s="16"/>
      <c r="I116" s="13" t="s">
        <v>79</v>
      </c>
    </row>
    <row r="117" spans="1:9" ht="15.75" thickBot="1">
      <c r="A117" s="11">
        <v>43539</v>
      </c>
      <c r="B117" s="6" t="str">
        <f>IF(ISNA(VLOOKUP(Tableau1[[#This Row],[Code]],'Code Véhicule'!$A$4:$C$85,2,FALSE))," ",VLOOKUP(Tableau1[[#This Row],[Code]],'Code Véhicule'!$A$4:$C$85,2,FALSE))</f>
        <v xml:space="preserve"> </v>
      </c>
      <c r="C117" s="12" t="s">
        <v>59</v>
      </c>
      <c r="D117" s="6" t="str">
        <f>IF(ISNA(VLOOKUP(Tableau1[[#This Row],[Code]],'Code Véhicule'!$A$4:$C$85,3,FALSE))," ",VLOOKUP(Tableau1[[#This Row],[Code]],'Code Véhicule'!$A$4:$C$85,3,FALSE))</f>
        <v xml:space="preserve"> </v>
      </c>
      <c r="E117" s="12">
        <v>583</v>
      </c>
      <c r="F117" s="12" t="s">
        <v>195</v>
      </c>
      <c r="G117" s="12" t="s">
        <v>223</v>
      </c>
      <c r="H117" s="16"/>
      <c r="I117" s="13"/>
    </row>
    <row r="118" spans="1:9" ht="15.75" thickBot="1">
      <c r="A118" s="11">
        <v>43539</v>
      </c>
      <c r="B118" s="6" t="str">
        <f>IF(ISNA(VLOOKUP(Tableau1[[#This Row],[Code]],'Code Véhicule'!$A$4:$C$85,2,FALSE))," ",VLOOKUP(Tableau1[[#This Row],[Code]],'Code Véhicule'!$A$4:$C$85,2,FALSE))</f>
        <v xml:space="preserve"> </v>
      </c>
      <c r="C118" s="12" t="s">
        <v>12</v>
      </c>
      <c r="D118" s="6" t="str">
        <f>IF(ISNA(VLOOKUP(Tableau1[[#This Row],[Code]],'Code Véhicule'!$A$4:$C$85,3,FALSE))," ",VLOOKUP(Tableau1[[#This Row],[Code]],'Code Véhicule'!$A$4:$C$85,3,FALSE))</f>
        <v xml:space="preserve"> </v>
      </c>
      <c r="E118" s="12">
        <v>800</v>
      </c>
      <c r="F118" s="12" t="s">
        <v>176</v>
      </c>
      <c r="G118" s="12" t="s">
        <v>240</v>
      </c>
      <c r="H118" s="16"/>
      <c r="I118" s="13" t="s">
        <v>79</v>
      </c>
    </row>
    <row r="119" spans="1:9" ht="15.75" thickBot="1">
      <c r="A119" s="11">
        <v>43539</v>
      </c>
      <c r="B119" s="6" t="str">
        <f>IF(ISNA(VLOOKUP(Tableau1[[#This Row],[Code]],'Code Véhicule'!$A$4:$C$85,2,FALSE))," ",VLOOKUP(Tableau1[[#This Row],[Code]],'Code Véhicule'!$A$4:$C$85,2,FALSE))</f>
        <v xml:space="preserve"> </v>
      </c>
      <c r="C119" s="12" t="s">
        <v>12</v>
      </c>
      <c r="D119" s="6" t="str">
        <f>IF(ISNA(VLOOKUP(Tableau1[[#This Row],[Code]],'Code Véhicule'!$A$4:$C$85,3,FALSE))," ",VLOOKUP(Tableau1[[#This Row],[Code]],'Code Véhicule'!$A$4:$C$85,3,FALSE))</f>
        <v xml:space="preserve"> </v>
      </c>
      <c r="E119" s="12">
        <v>800</v>
      </c>
      <c r="F119" s="12" t="s">
        <v>39</v>
      </c>
      <c r="G119" s="12" t="s">
        <v>245</v>
      </c>
      <c r="H119" s="16"/>
      <c r="I119" s="13" t="s">
        <v>79</v>
      </c>
    </row>
    <row r="120" spans="1:9" ht="15.75" thickBot="1">
      <c r="A120" s="11">
        <v>43540</v>
      </c>
      <c r="B120" s="6" t="str">
        <f>IF(ISNA(VLOOKUP(Tableau1[[#This Row],[Code]],'Code Véhicule'!$A$4:$C$85,2,FALSE))," ",VLOOKUP(Tableau1[[#This Row],[Code]],'Code Véhicule'!$A$4:$C$85,2,FALSE))</f>
        <v xml:space="preserve"> </v>
      </c>
      <c r="C120" s="12" t="s">
        <v>59</v>
      </c>
      <c r="D120" s="6" t="str">
        <f>IF(ISNA(VLOOKUP(Tableau1[[#This Row],[Code]],'Code Véhicule'!$A$4:$C$85,3,FALSE))," ",VLOOKUP(Tableau1[[#This Row],[Code]],'Code Véhicule'!$A$4:$C$85,3,FALSE))</f>
        <v xml:space="preserve"> </v>
      </c>
      <c r="E120" s="12">
        <v>605</v>
      </c>
      <c r="F120" s="12" t="s">
        <v>72</v>
      </c>
      <c r="G120" s="12" t="s">
        <v>224</v>
      </c>
      <c r="H120" s="16"/>
      <c r="I120" s="17" t="s">
        <v>225</v>
      </c>
    </row>
    <row r="121" spans="1:9" ht="15.75" thickBot="1">
      <c r="A121" s="11">
        <v>43542</v>
      </c>
      <c r="B121" s="6" t="str">
        <f>IF(ISNA(VLOOKUP(Tableau1[[#This Row],[Code]],'Code Véhicule'!$A$4:$C$85,2,FALSE))," ",VLOOKUP(Tableau1[[#This Row],[Code]],'Code Véhicule'!$A$4:$C$85,2,FALSE))</f>
        <v xml:space="preserve"> </v>
      </c>
      <c r="C121" s="12" t="s">
        <v>12</v>
      </c>
      <c r="D121" s="6" t="str">
        <f>IF(ISNA(VLOOKUP(Tableau1[[#This Row],[Code]],'Code Véhicule'!$A$4:$C$85,3,FALSE))," ",VLOOKUP(Tableau1[[#This Row],[Code]],'Code Véhicule'!$A$4:$C$85,3,FALSE))</f>
        <v xml:space="preserve"> </v>
      </c>
      <c r="E121" s="12">
        <v>560</v>
      </c>
      <c r="F121" s="12" t="s">
        <v>9</v>
      </c>
      <c r="G121" s="12" t="s">
        <v>257</v>
      </c>
      <c r="H121" s="16"/>
      <c r="I121" s="13"/>
    </row>
    <row r="122" spans="1:9" ht="15.75" thickBot="1">
      <c r="A122" s="11">
        <v>43543</v>
      </c>
      <c r="B122" s="6" t="str">
        <f>IF(ISNA(VLOOKUP(Tableau1[[#This Row],[Code]],'Code Véhicule'!$A$4:$C$85,2,FALSE))," ",VLOOKUP(Tableau1[[#This Row],[Code]],'Code Véhicule'!$A$4:$C$85,2,FALSE))</f>
        <v xml:space="preserve"> </v>
      </c>
      <c r="C122" s="12" t="s">
        <v>12</v>
      </c>
      <c r="D122" s="6" t="str">
        <f>IF(ISNA(VLOOKUP(Tableau1[[#This Row],[Code]],'Code Véhicule'!$A$4:$C$85,3,FALSE))," ",VLOOKUP(Tableau1[[#This Row],[Code]],'Code Véhicule'!$A$4:$C$85,3,FALSE))</f>
        <v xml:space="preserve"> </v>
      </c>
      <c r="E122" s="12">
        <v>582</v>
      </c>
      <c r="F122" s="12" t="s">
        <v>212</v>
      </c>
      <c r="G122" s="12" t="s">
        <v>205</v>
      </c>
      <c r="H122" s="16"/>
      <c r="I122" s="13"/>
    </row>
    <row r="123" spans="1:9" ht="15.75" thickBot="1">
      <c r="A123" s="11">
        <v>43535</v>
      </c>
      <c r="B123" s="6" t="str">
        <f>IF(ISNA(VLOOKUP(Tableau1[[#This Row],[Code]],'Code Véhicule'!$A$4:$C$85,2,FALSE))," ",VLOOKUP(Tableau1[[#This Row],[Code]],'Code Véhicule'!$A$4:$C$85,2,FALSE))</f>
        <v xml:space="preserve"> </v>
      </c>
      <c r="C123" s="12" t="s">
        <v>252</v>
      </c>
      <c r="D123" s="6" t="str">
        <f>IF(ISNA(VLOOKUP(Tableau1[[#This Row],[Code]],'Code Véhicule'!$A$4:$C$85,3,FALSE))," ",VLOOKUP(Tableau1[[#This Row],[Code]],'Code Véhicule'!$A$4:$C$85,3,FALSE))</f>
        <v xml:space="preserve"> </v>
      </c>
      <c r="E123" s="12">
        <v>700</v>
      </c>
      <c r="F123" s="12" t="s">
        <v>17</v>
      </c>
      <c r="G123" s="12" t="s">
        <v>251</v>
      </c>
      <c r="H123" s="16"/>
      <c r="I123" s="17" t="s">
        <v>253</v>
      </c>
    </row>
    <row r="124" spans="1:9" ht="15.75" thickBot="1">
      <c r="A124" s="11">
        <v>43544</v>
      </c>
      <c r="B124" s="6" t="str">
        <f>IF(ISNA(VLOOKUP(Tableau1[[#This Row],[Code]],'Code Véhicule'!$A$4:$C$85,2,FALSE))," ",VLOOKUP(Tableau1[[#This Row],[Code]],'Code Véhicule'!$A$4:$C$85,2,FALSE))</f>
        <v xml:space="preserve"> </v>
      </c>
      <c r="C124" s="12" t="s">
        <v>12</v>
      </c>
      <c r="D124" s="6" t="str">
        <f>IF(ISNA(VLOOKUP(Tableau1[[#This Row],[Code]],'Code Véhicule'!$A$4:$C$85,3,FALSE))," ",VLOOKUP(Tableau1[[#This Row],[Code]],'Code Véhicule'!$A$4:$C$85,3,FALSE))</f>
        <v xml:space="preserve"> </v>
      </c>
      <c r="E124" s="12">
        <v>800</v>
      </c>
      <c r="F124" s="12" t="s">
        <v>256</v>
      </c>
      <c r="G124" s="12" t="s">
        <v>254</v>
      </c>
      <c r="H124" s="16"/>
      <c r="I124" s="17" t="s">
        <v>255</v>
      </c>
    </row>
    <row r="125" spans="1:9" ht="15.75" thickBot="1">
      <c r="A125" s="11">
        <v>43552</v>
      </c>
      <c r="B125" s="6" t="str">
        <f>IF(ISNA(VLOOKUP(Tableau1[[#This Row],[Code]],'Code Véhicule'!$A$4:$C$85,2,FALSE))," ",VLOOKUP(Tableau1[[#This Row],[Code]],'Code Véhicule'!$A$4:$C$85,2,FALSE))</f>
        <v xml:space="preserve"> </v>
      </c>
      <c r="C125" s="12" t="s">
        <v>12</v>
      </c>
      <c r="D125" s="6" t="str">
        <f>IF(ISNA(VLOOKUP(Tableau1[[#This Row],[Code]],'Code Véhicule'!$A$4:$C$85,3,FALSE))," ",VLOOKUP(Tableau1[[#This Row],[Code]],'Code Véhicule'!$A$4:$C$85,3,FALSE))</f>
        <v xml:space="preserve"> </v>
      </c>
      <c r="E125" s="12">
        <v>581</v>
      </c>
      <c r="F125" s="12" t="s">
        <v>211</v>
      </c>
      <c r="G125" s="12" t="s">
        <v>261</v>
      </c>
      <c r="H125" s="16"/>
      <c r="I125" s="13" t="s">
        <v>79</v>
      </c>
    </row>
    <row r="126" spans="1:9" ht="15.75" thickBot="1">
      <c r="A126" s="11">
        <v>43547</v>
      </c>
      <c r="B126" s="6" t="str">
        <f>IF(ISNA(VLOOKUP(Tableau1[[#This Row],[Code]],'Code Véhicule'!$A$4:$C$85,2,FALSE))," ",VLOOKUP(Tableau1[[#This Row],[Code]],'Code Véhicule'!$A$4:$C$85,2,FALSE))</f>
        <v xml:space="preserve"> </v>
      </c>
      <c r="C126" s="12" t="s">
        <v>12</v>
      </c>
      <c r="D126" s="6" t="str">
        <f>IF(ISNA(VLOOKUP(Tableau1[[#This Row],[Code]],'Code Véhicule'!$A$4:$C$85,3,FALSE))," ",VLOOKUP(Tableau1[[#This Row],[Code]],'Code Véhicule'!$A$4:$C$85,3,FALSE))</f>
        <v xml:space="preserve"> </v>
      </c>
      <c r="E126" s="12">
        <v>605</v>
      </c>
      <c r="F126" s="12" t="s">
        <v>72</v>
      </c>
      <c r="G126" s="12" t="s">
        <v>259</v>
      </c>
      <c r="H126" s="16"/>
      <c r="I126" s="17" t="s">
        <v>260</v>
      </c>
    </row>
    <row r="127" spans="1:9" ht="15.75" thickBot="1">
      <c r="A127" s="11">
        <v>43540</v>
      </c>
      <c r="B127" s="6" t="str">
        <f>IF(ISNA(VLOOKUP(Tableau1[[#This Row],[Code]],'Code Véhicule'!$A$4:$C$85,2,FALSE))," ",VLOOKUP(Tableau1[[#This Row],[Code]],'Code Véhicule'!$A$4:$C$85,2,FALSE))</f>
        <v xml:space="preserve"> </v>
      </c>
      <c r="C127" s="12" t="s">
        <v>12</v>
      </c>
      <c r="D127" s="6" t="str">
        <f>IF(ISNA(VLOOKUP(Tableau1[[#This Row],[Code]],'Code Véhicule'!$A$4:$C$85,3,FALSE))," ",VLOOKUP(Tableau1[[#This Row],[Code]],'Code Véhicule'!$A$4:$C$85,3,FALSE))</f>
        <v xml:space="preserve"> </v>
      </c>
      <c r="E127" s="12">
        <v>700</v>
      </c>
      <c r="F127" s="12" t="s">
        <v>262</v>
      </c>
      <c r="G127" s="12" t="s">
        <v>263</v>
      </c>
      <c r="H127" s="16"/>
      <c r="I127" s="17" t="s">
        <v>79</v>
      </c>
    </row>
    <row r="128" spans="1:9" ht="15.75" thickBot="1">
      <c r="A128" s="11">
        <v>43552</v>
      </c>
      <c r="B128" s="6" t="str">
        <f>IF(ISNA(VLOOKUP(Tableau1[[#This Row],[Code]],'Code Véhicule'!$A$4:$C$85,2,FALSE))," ",VLOOKUP(Tableau1[[#This Row],[Code]],'Code Véhicule'!$A$4:$C$85,2,FALSE))</f>
        <v xml:space="preserve"> </v>
      </c>
      <c r="C128" s="12" t="s">
        <v>12</v>
      </c>
      <c r="D128" s="6" t="str">
        <f>IF(ISNA(VLOOKUP(Tableau1[[#This Row],[Code]],'Code Véhicule'!$A$4:$C$85,3,FALSE))," ",VLOOKUP(Tableau1[[#This Row],[Code]],'Code Véhicule'!$A$4:$C$85,3,FALSE))</f>
        <v xml:space="preserve"> </v>
      </c>
      <c r="E128" s="12">
        <v>582</v>
      </c>
      <c r="F128" s="12" t="s">
        <v>183</v>
      </c>
      <c r="G128" s="12"/>
      <c r="H128" s="16"/>
      <c r="I128" s="17" t="s">
        <v>264</v>
      </c>
    </row>
    <row r="129" spans="1:9" ht="15.75" thickBot="1">
      <c r="A129" s="11">
        <v>43556</v>
      </c>
      <c r="B129" s="6" t="str">
        <f>IF(ISNA(VLOOKUP(Tableau1[[#This Row],[Code]],'Code Véhicule'!$A$4:$C$85,2,FALSE))," ",VLOOKUP(Tableau1[[#This Row],[Code]],'Code Véhicule'!$A$4:$C$85,2,FALSE))</f>
        <v xml:space="preserve"> </v>
      </c>
      <c r="C129" s="12" t="s">
        <v>12</v>
      </c>
      <c r="D129" s="6" t="str">
        <f>IF(ISNA(VLOOKUP(Tableau1[[#This Row],[Code]],'Code Véhicule'!$A$4:$C$85,3,FALSE))," ",VLOOKUP(Tableau1[[#This Row],[Code]],'Code Véhicule'!$A$4:$C$85,3,FALSE))</f>
        <v xml:space="preserve"> </v>
      </c>
      <c r="E129" s="12">
        <v>561</v>
      </c>
      <c r="F129" s="12" t="s">
        <v>48</v>
      </c>
      <c r="G129" s="12" t="s">
        <v>149</v>
      </c>
      <c r="H129" s="16"/>
      <c r="I129" s="17" t="s">
        <v>265</v>
      </c>
    </row>
    <row r="130" spans="1:9" ht="15.75" thickBot="1">
      <c r="A130" s="11">
        <v>43556</v>
      </c>
      <c r="B130" s="6" t="str">
        <f>IF(ISNA(VLOOKUP(Tableau1[[#This Row],[Code]],'Code Véhicule'!$A$4:$C$85,2,FALSE))," ",VLOOKUP(Tableau1[[#This Row],[Code]],'Code Véhicule'!$A$4:$C$85,2,FALSE))</f>
        <v xml:space="preserve"> </v>
      </c>
      <c r="C130" s="12" t="s">
        <v>12</v>
      </c>
      <c r="D130" s="6" t="str">
        <f>IF(ISNA(VLOOKUP(Tableau1[[#This Row],[Code]],'Code Véhicule'!$A$4:$C$85,3,FALSE))," ",VLOOKUP(Tableau1[[#This Row],[Code]],'Code Véhicule'!$A$4:$C$85,3,FALSE))</f>
        <v xml:space="preserve"> </v>
      </c>
      <c r="E130" s="12">
        <v>560</v>
      </c>
      <c r="F130" s="12" t="s">
        <v>98</v>
      </c>
      <c r="G130" s="12" t="s">
        <v>267</v>
      </c>
      <c r="H130" s="16"/>
      <c r="I130" s="17" t="s">
        <v>79</v>
      </c>
    </row>
    <row r="131" spans="1:9" ht="15.75" thickBot="1">
      <c r="A131" s="11">
        <v>43556</v>
      </c>
      <c r="B131" s="6" t="str">
        <f>IF(ISNA(VLOOKUP(Tableau1[[#This Row],[Code]],'Code Véhicule'!$A$4:$C$85,2,FALSE))," ",VLOOKUP(Tableau1[[#This Row],[Code]],'Code Véhicule'!$A$4:$C$85,2,FALSE))</f>
        <v xml:space="preserve"> </v>
      </c>
      <c r="C131" s="12" t="s">
        <v>12</v>
      </c>
      <c r="D131" s="6" t="str">
        <f>IF(ISNA(VLOOKUP(Tableau1[[#This Row],[Code]],'Code Véhicule'!$A$4:$C$85,3,FALSE))," ",VLOOKUP(Tableau1[[#This Row],[Code]],'Code Véhicule'!$A$4:$C$85,3,FALSE))</f>
        <v xml:space="preserve"> </v>
      </c>
      <c r="E131" s="12">
        <v>605</v>
      </c>
      <c r="F131" s="12" t="s">
        <v>72</v>
      </c>
      <c r="G131" s="12" t="s">
        <v>266</v>
      </c>
      <c r="H131" s="16"/>
      <c r="I131" s="17" t="s">
        <v>79</v>
      </c>
    </row>
    <row r="132" spans="1:9" ht="15.75" thickBot="1">
      <c r="A132" s="11">
        <v>43556</v>
      </c>
      <c r="B132" s="6" t="str">
        <f>IF(ISNA(VLOOKUP(Tableau1[[#This Row],[Code]],'Code Véhicule'!$A$4:$C$85,2,FALSE))," ",VLOOKUP(Tableau1[[#This Row],[Code]],'Code Véhicule'!$A$4:$C$85,2,FALSE))</f>
        <v xml:space="preserve"> </v>
      </c>
      <c r="C132" s="12" t="s">
        <v>12</v>
      </c>
      <c r="D132" s="6" t="str">
        <f>IF(ISNA(VLOOKUP(Tableau1[[#This Row],[Code]],'Code Véhicule'!$A$4:$C$85,3,FALSE))," ",VLOOKUP(Tableau1[[#This Row],[Code]],'Code Véhicule'!$A$4:$C$85,3,FALSE))</f>
        <v xml:space="preserve"> </v>
      </c>
      <c r="E132" s="12">
        <v>700</v>
      </c>
      <c r="F132" s="12" t="s">
        <v>268</v>
      </c>
      <c r="G132" s="12" t="s">
        <v>269</v>
      </c>
      <c r="H132" s="19">
        <v>0.125</v>
      </c>
      <c r="I132" s="17" t="s">
        <v>79</v>
      </c>
    </row>
    <row r="133" spans="1:9" ht="15.75" thickBot="1">
      <c r="A133" s="11">
        <v>43556</v>
      </c>
      <c r="B133" s="6" t="str">
        <f>IF(ISNA(VLOOKUP(Tableau1[[#This Row],[Code]],'Code Véhicule'!$A$4:$C$85,2,FALSE))," ",VLOOKUP(Tableau1[[#This Row],[Code]],'Code Véhicule'!$A$4:$C$85,2,FALSE))</f>
        <v xml:space="preserve"> </v>
      </c>
      <c r="C133" s="12" t="s">
        <v>8</v>
      </c>
      <c r="D133" s="6" t="str">
        <f>IF(ISNA(VLOOKUP(Tableau1[[#This Row],[Code]],'Code Véhicule'!$A$4:$C$85,3,FALSE))," ",VLOOKUP(Tableau1[[#This Row],[Code]],'Code Véhicule'!$A$4:$C$85,3,FALSE))</f>
        <v xml:space="preserve"> </v>
      </c>
      <c r="E133" s="12">
        <v>800</v>
      </c>
      <c r="F133" s="12" t="s">
        <v>268</v>
      </c>
      <c r="G133" s="12" t="s">
        <v>270</v>
      </c>
      <c r="H133" s="16">
        <v>2.0833333333333332E-2</v>
      </c>
      <c r="I133" s="17"/>
    </row>
    <row r="134" spans="1:9" ht="15.75" thickBot="1">
      <c r="A134" s="11">
        <v>43556</v>
      </c>
      <c r="B134" s="6" t="str">
        <f>IF(ISNA(VLOOKUP(Tableau1[[#This Row],[Code]],'Code Véhicule'!$A$4:$C$85,2,FALSE))," ",VLOOKUP(Tableau1[[#This Row],[Code]],'Code Véhicule'!$A$4:$C$85,2,FALSE))</f>
        <v xml:space="preserve"> </v>
      </c>
      <c r="C134" s="12" t="s">
        <v>12</v>
      </c>
      <c r="D134" s="6" t="str">
        <f>IF(ISNA(VLOOKUP(Tableau1[[#This Row],[Code]],'Code Véhicule'!$A$4:$C$85,3,FALSE))," ",VLOOKUP(Tableau1[[#This Row],[Code]],'Code Véhicule'!$A$4:$C$85,3,FALSE))</f>
        <v xml:space="preserve"> </v>
      </c>
      <c r="E134" s="12">
        <v>800</v>
      </c>
      <c r="F134" s="12" t="s">
        <v>272</v>
      </c>
      <c r="G134" s="12" t="s">
        <v>271</v>
      </c>
      <c r="H134" s="16">
        <v>0.125</v>
      </c>
      <c r="I134" s="17"/>
    </row>
    <row r="135" spans="1:9" ht="15.75" thickBot="1">
      <c r="A135" s="11">
        <v>43557</v>
      </c>
      <c r="B135" s="6" t="str">
        <f>IF(ISNA(VLOOKUP(Tableau1[[#This Row],[Code]],'Code Véhicule'!$A$4:$C$85,2,FALSE))," ",VLOOKUP(Tableau1[[#This Row],[Code]],'Code Véhicule'!$A$4:$C$85,2,FALSE))</f>
        <v xml:space="preserve"> </v>
      </c>
      <c r="C135" s="12" t="s">
        <v>12</v>
      </c>
      <c r="D135" s="6" t="str">
        <f>IF(ISNA(VLOOKUP(Tableau1[[#This Row],[Code]],'Code Véhicule'!$A$4:$C$85,3,FALSE))," ",VLOOKUP(Tableau1[[#This Row],[Code]],'Code Véhicule'!$A$4:$C$85,3,FALSE))</f>
        <v xml:space="preserve"> </v>
      </c>
      <c r="E135" s="12">
        <v>700</v>
      </c>
      <c r="F135" s="12" t="s">
        <v>39</v>
      </c>
      <c r="G135" s="12" t="s">
        <v>273</v>
      </c>
      <c r="H135" s="16">
        <v>1.3888888888888888E-2</v>
      </c>
      <c r="I135" s="17"/>
    </row>
    <row r="136" spans="1:9" ht="15.75" thickBot="1">
      <c r="A136" s="11">
        <v>43557</v>
      </c>
      <c r="B136" s="6" t="str">
        <f>IF(ISNA(VLOOKUP(Tableau1[[#This Row],[Code]],'Code Véhicule'!$A$4:$C$85,2,FALSE))," ",VLOOKUP(Tableau1[[#This Row],[Code]],'Code Véhicule'!$A$4:$C$85,2,FALSE))</f>
        <v xml:space="preserve"> </v>
      </c>
      <c r="C136" s="12" t="s">
        <v>12</v>
      </c>
      <c r="D136" s="6" t="str">
        <f>IF(ISNA(VLOOKUP(Tableau1[[#This Row],[Code]],'Code Véhicule'!$A$4:$C$85,3,FALSE))," ",VLOOKUP(Tableau1[[#This Row],[Code]],'Code Véhicule'!$A$4:$C$85,3,FALSE))</f>
        <v xml:space="preserve"> </v>
      </c>
      <c r="E136" s="12">
        <v>700</v>
      </c>
      <c r="F136" s="12" t="s">
        <v>126</v>
      </c>
      <c r="G136" s="12" t="s">
        <v>274</v>
      </c>
      <c r="H136" s="16">
        <v>0</v>
      </c>
      <c r="I136" s="17"/>
    </row>
    <row r="137" spans="1:9" ht="15.75" thickBot="1">
      <c r="A137" s="11">
        <v>43559</v>
      </c>
      <c r="B137" s="6" t="str">
        <f>IF(ISNA(VLOOKUP(Tableau1[[#This Row],[Code]],'Code Véhicule'!$A$4:$C$85,2,FALSE))," ",VLOOKUP(Tableau1[[#This Row],[Code]],'Code Véhicule'!$A$4:$C$85,2,FALSE))</f>
        <v xml:space="preserve"> </v>
      </c>
      <c r="C137" s="12" t="s">
        <v>12</v>
      </c>
      <c r="D137" s="6" t="str">
        <f>IF(ISNA(VLOOKUP(Tableau1[[#This Row],[Code]],'Code Véhicule'!$A$4:$C$85,3,FALSE))," ",VLOOKUP(Tableau1[[#This Row],[Code]],'Code Véhicule'!$A$4:$C$85,3,FALSE))</f>
        <v xml:space="preserve"> </v>
      </c>
      <c r="E137" s="12">
        <v>700</v>
      </c>
      <c r="F137" s="12" t="s">
        <v>228</v>
      </c>
      <c r="G137" s="12" t="s">
        <v>275</v>
      </c>
      <c r="H137" s="16"/>
      <c r="I137" s="17" t="s">
        <v>276</v>
      </c>
    </row>
    <row r="138" spans="1:9" ht="15.75" thickBot="1">
      <c r="A138" s="11">
        <v>43563</v>
      </c>
      <c r="B138" s="6" t="str">
        <f>IF(ISNA(VLOOKUP(Tableau1[[#This Row],[Code]],'Code Véhicule'!$A$4:$C$85,2,FALSE))," ",VLOOKUP(Tableau1[[#This Row],[Code]],'Code Véhicule'!$A$4:$C$85,2,FALSE))</f>
        <v xml:space="preserve"> </v>
      </c>
      <c r="C138" s="12" t="s">
        <v>12</v>
      </c>
      <c r="D138" s="6" t="str">
        <f>IF(ISNA(VLOOKUP(Tableau1[[#This Row],[Code]],'Code Véhicule'!$A$4:$C$85,3,FALSE))," ",VLOOKUP(Tableau1[[#This Row],[Code]],'Code Véhicule'!$A$4:$C$85,3,FALSE))</f>
        <v xml:space="preserve"> </v>
      </c>
      <c r="E138" s="12">
        <v>800</v>
      </c>
      <c r="F138" s="12" t="s">
        <v>268</v>
      </c>
      <c r="G138" s="12" t="s">
        <v>234</v>
      </c>
      <c r="H138" s="16"/>
      <c r="I138" s="17"/>
    </row>
    <row r="139" spans="1:9" ht="15.75" thickBot="1">
      <c r="A139" s="11">
        <v>43563</v>
      </c>
      <c r="B139" s="6" t="str">
        <f>IF(ISNA(VLOOKUP(Tableau1[[#This Row],[Code]],'Code Véhicule'!$A$4:$C$85,2,FALSE))," ",VLOOKUP(Tableau1[[#This Row],[Code]],'Code Véhicule'!$A$4:$C$85,2,FALSE))</f>
        <v xml:space="preserve"> </v>
      </c>
      <c r="C139" s="12" t="s">
        <v>12</v>
      </c>
      <c r="D139" s="6" t="str">
        <f>IF(ISNA(VLOOKUP(Tableau1[[#This Row],[Code]],'Code Véhicule'!$A$4:$C$85,3,FALSE))," ",VLOOKUP(Tableau1[[#This Row],[Code]],'Code Véhicule'!$A$4:$C$85,3,FALSE))</f>
        <v xml:space="preserve"> </v>
      </c>
      <c r="E139" s="12">
        <v>800</v>
      </c>
      <c r="F139" s="12" t="s">
        <v>56</v>
      </c>
      <c r="G139" s="12" t="s">
        <v>277</v>
      </c>
      <c r="H139" s="16"/>
      <c r="I139" s="17"/>
    </row>
  </sheetData>
  <conditionalFormatting sqref="I2:I126">
    <cfRule type="notContainsBlanks" dxfId="444" priority="18">
      <formula>LEN(TRIM(I2))&gt;0</formula>
    </cfRule>
  </conditionalFormatting>
  <conditionalFormatting sqref="I2:I139">
    <cfRule type="containsText" dxfId="443" priority="1" operator="containsText" text="OP">
      <formula>NOT(ISERROR(SEARCH("OP",I2)))</formula>
    </cfRule>
    <cfRule type="containsText" dxfId="442" priority="2" operator="containsText" text="opérationnel">
      <formula>NOT(ISERROR(SEARCH("opérationnel",I2)))</formula>
    </cfRule>
    <cfRule type="containsText" dxfId="441" priority="3" operator="containsText" text="opérationel">
      <formula>NOT(ISERROR(SEARCH("opérationel",I2)))</formula>
    </cfRule>
    <cfRule type="containsText" dxfId="440" priority="4" operator="containsText" text="opérationelle">
      <formula>NOT(ISERROR(SEARCH("opérationelle",I2)))</formula>
    </cfRule>
    <cfRule type="containsText" dxfId="439" priority="5" operator="containsText" text="opérationnelle">
      <formula>NOT(ISERROR(SEARCH("opérationnelle",I2)))</formula>
    </cfRule>
    <cfRule type="containsBlanks" dxfId="438" priority="6">
      <formula>LEN(TRIM(I2))=0</formula>
    </cfRule>
    <cfRule type="containsText" dxfId="437" priority="7" operator="containsText" text="RAS">
      <formula>NOT(ISERROR(SEARCH("RAS",I2)))</formula>
    </cfRule>
  </conditionalFormatting>
  <conditionalFormatting sqref="I126">
    <cfRule type="cellIs" dxfId="436" priority="17" operator="equal">
      <formula>"RAS"</formula>
    </cfRule>
  </conditionalFormatting>
  <conditionalFormatting sqref="I127:I139">
    <cfRule type="cellIs" dxfId="435" priority="8" operator="equal">
      <formula>"RAS"</formula>
    </cfRule>
    <cfRule type="notContainsBlanks" dxfId="434" priority="9">
      <formula>LEN(TRIM(I127))&gt;0</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sheetPr codeName="Feuil2">
    <tabColor rgb="FF7030A0"/>
  </sheetPr>
  <dimension ref="A1"/>
  <sheetViews>
    <sheetView showGridLines="0" zoomScale="70" zoomScaleNormal="70" workbookViewId="0">
      <pane xSplit="23" ySplit="28" topLeftCell="Y29" activePane="bottomRight" state="frozen"/>
      <selection pane="topRight" activeCell="X1" sqref="X1"/>
      <selection pane="bottomLeft" activeCell="A29" sqref="A29"/>
      <selection pane="bottomRight" activeCell="S35" sqref="S35"/>
    </sheetView>
  </sheetViews>
  <sheetFormatPr baseColWidth="10" defaultRowHeight="15"/>
  <cols>
    <col min="1" max="16384" width="11.42578125" style="77"/>
  </cols>
  <sheetData>
    <row r="1" spans="1:1">
      <c r="A1"/>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sheetPr codeName="Feuil3">
    <tabColor rgb="FF0070C0"/>
  </sheetPr>
  <dimension ref="A1:D91"/>
  <sheetViews>
    <sheetView showGridLines="0" zoomScale="110" zoomScaleNormal="110" workbookViewId="0">
      <pane xSplit="1" ySplit="3" topLeftCell="B28" activePane="bottomRight" state="frozen"/>
      <selection pane="topRight" activeCell="B1" sqref="B1"/>
      <selection pane="bottomLeft" activeCell="A4" sqref="A4"/>
      <selection pane="bottomRight" activeCell="B48" sqref="B48"/>
    </sheetView>
  </sheetViews>
  <sheetFormatPr baseColWidth="10" defaultColWidth="10.7109375" defaultRowHeight="15"/>
  <cols>
    <col min="1" max="1" width="27.140625" customWidth="1"/>
    <col min="2" max="2" width="33.42578125" customWidth="1"/>
    <col min="3" max="3" width="16.42578125" bestFit="1" customWidth="1"/>
    <col min="4" max="4" width="29" customWidth="1"/>
  </cols>
  <sheetData>
    <row r="1" spans="1:4" ht="21">
      <c r="A1" s="23" t="s">
        <v>293</v>
      </c>
      <c r="B1" s="23"/>
      <c r="C1" s="23"/>
    </row>
    <row r="3" spans="1:4">
      <c r="A3" t="s">
        <v>289</v>
      </c>
      <c r="B3" t="s">
        <v>288</v>
      </c>
      <c r="C3" t="s">
        <v>290</v>
      </c>
      <c r="D3" s="26" t="s">
        <v>291</v>
      </c>
    </row>
    <row r="4" spans="1:4">
      <c r="A4" s="27">
        <v>7</v>
      </c>
      <c r="B4" s="28" t="s">
        <v>429</v>
      </c>
      <c r="C4" s="28" t="s">
        <v>430</v>
      </c>
      <c r="D4" s="27" t="s">
        <v>300</v>
      </c>
    </row>
    <row r="5" spans="1:4">
      <c r="A5" s="27">
        <v>401</v>
      </c>
      <c r="B5" s="27" t="s">
        <v>294</v>
      </c>
      <c r="C5" s="28" t="s">
        <v>431</v>
      </c>
      <c r="D5" s="28" t="s">
        <v>418</v>
      </c>
    </row>
    <row r="6" spans="1:4">
      <c r="A6" s="27">
        <v>403</v>
      </c>
      <c r="B6" s="27" t="s">
        <v>294</v>
      </c>
      <c r="C6" s="28" t="s">
        <v>443</v>
      </c>
      <c r="D6" s="28" t="s">
        <v>417</v>
      </c>
    </row>
    <row r="7" spans="1:4">
      <c r="A7" s="27">
        <v>404</v>
      </c>
      <c r="B7" s="27" t="s">
        <v>292</v>
      </c>
      <c r="C7" s="28" t="s">
        <v>444</v>
      </c>
      <c r="D7" s="28" t="s">
        <v>408</v>
      </c>
    </row>
    <row r="8" spans="1:4">
      <c r="A8" s="27">
        <v>405</v>
      </c>
      <c r="B8" s="27" t="s">
        <v>294</v>
      </c>
      <c r="C8" s="28" t="s">
        <v>431</v>
      </c>
      <c r="D8" s="28" t="s">
        <v>419</v>
      </c>
    </row>
    <row r="9" spans="1:4">
      <c r="A9" s="27">
        <v>406</v>
      </c>
      <c r="B9" s="27" t="s">
        <v>292</v>
      </c>
      <c r="C9" s="28" t="s">
        <v>444</v>
      </c>
      <c r="D9" s="28" t="s">
        <v>405</v>
      </c>
    </row>
    <row r="10" spans="1:4">
      <c r="A10" s="27">
        <v>407</v>
      </c>
      <c r="B10" s="27" t="s">
        <v>292</v>
      </c>
      <c r="C10" s="28" t="s">
        <v>443</v>
      </c>
      <c r="D10" s="28" t="s">
        <v>410</v>
      </c>
    </row>
    <row r="11" spans="1:4">
      <c r="A11" s="27">
        <v>408</v>
      </c>
      <c r="B11" s="27" t="s">
        <v>294</v>
      </c>
      <c r="C11" s="28" t="s">
        <v>432</v>
      </c>
      <c r="D11" s="28" t="s">
        <v>412</v>
      </c>
    </row>
    <row r="12" spans="1:4">
      <c r="A12" s="27">
        <v>409</v>
      </c>
      <c r="B12" s="27" t="s">
        <v>294</v>
      </c>
      <c r="C12" s="28" t="s">
        <v>432</v>
      </c>
      <c r="D12" s="28" t="s">
        <v>413</v>
      </c>
    </row>
    <row r="13" spans="1:4">
      <c r="A13" s="27">
        <v>410</v>
      </c>
      <c r="B13" s="27" t="s">
        <v>292</v>
      </c>
      <c r="C13" s="28" t="s">
        <v>443</v>
      </c>
      <c r="D13" s="28" t="s">
        <v>411</v>
      </c>
    </row>
    <row r="14" spans="1:4">
      <c r="A14" s="27">
        <v>411</v>
      </c>
      <c r="B14" s="27" t="s">
        <v>294</v>
      </c>
      <c r="C14" s="28" t="s">
        <v>433</v>
      </c>
      <c r="D14" s="28" t="s">
        <v>416</v>
      </c>
    </row>
    <row r="15" spans="1:4">
      <c r="A15" s="27">
        <v>413</v>
      </c>
      <c r="B15" s="28" t="s">
        <v>426</v>
      </c>
      <c r="C15" s="27" t="s">
        <v>207</v>
      </c>
      <c r="D15" s="28" t="s">
        <v>446</v>
      </c>
    </row>
    <row r="16" spans="1:4">
      <c r="A16" s="76" t="s">
        <v>1191</v>
      </c>
      <c r="B16" s="76" t="s">
        <v>426</v>
      </c>
      <c r="C16" s="76" t="s">
        <v>207</v>
      </c>
      <c r="D16" s="76" t="s">
        <v>446</v>
      </c>
    </row>
    <row r="17" spans="1:4">
      <c r="A17" s="27">
        <v>414</v>
      </c>
      <c r="B17" s="28" t="s">
        <v>420</v>
      </c>
      <c r="C17" s="28" t="s">
        <v>421</v>
      </c>
      <c r="D17" s="28" t="s">
        <v>446</v>
      </c>
    </row>
    <row r="18" spans="1:4">
      <c r="A18" s="27">
        <v>417</v>
      </c>
      <c r="B18" s="28" t="s">
        <v>429</v>
      </c>
      <c r="C18" s="28" t="s">
        <v>430</v>
      </c>
      <c r="D18" s="27" t="s">
        <v>297</v>
      </c>
    </row>
    <row r="19" spans="1:4">
      <c r="A19" s="27">
        <v>419</v>
      </c>
      <c r="B19" s="28" t="s">
        <v>429</v>
      </c>
      <c r="C19" s="28" t="s">
        <v>600</v>
      </c>
      <c r="D19" s="28" t="s">
        <v>445</v>
      </c>
    </row>
    <row r="20" spans="1:4">
      <c r="A20" s="27">
        <v>421</v>
      </c>
      <c r="B20" s="28" t="s">
        <v>434</v>
      </c>
      <c r="C20" s="28" t="s">
        <v>439</v>
      </c>
      <c r="D20" s="28" t="s">
        <v>446</v>
      </c>
    </row>
    <row r="21" spans="1:4">
      <c r="A21" s="27">
        <v>422</v>
      </c>
      <c r="B21" s="28" t="s">
        <v>434</v>
      </c>
      <c r="C21" s="28" t="s">
        <v>437</v>
      </c>
      <c r="D21" s="28" t="s">
        <v>446</v>
      </c>
    </row>
    <row r="22" spans="1:4">
      <c r="A22" s="27">
        <v>426</v>
      </c>
      <c r="B22" s="28" t="s">
        <v>434</v>
      </c>
      <c r="C22" s="27" t="s">
        <v>206</v>
      </c>
      <c r="D22" s="28" t="s">
        <v>446</v>
      </c>
    </row>
    <row r="23" spans="1:4">
      <c r="A23" s="27">
        <v>427</v>
      </c>
      <c r="B23" s="28" t="s">
        <v>434</v>
      </c>
      <c r="C23" s="28" t="s">
        <v>439</v>
      </c>
      <c r="D23" s="28" t="s">
        <v>446</v>
      </c>
    </row>
    <row r="24" spans="1:4">
      <c r="A24" s="27">
        <v>428</v>
      </c>
      <c r="B24" s="28" t="s">
        <v>434</v>
      </c>
      <c r="C24" s="28" t="s">
        <v>439</v>
      </c>
      <c r="D24" s="28" t="s">
        <v>446</v>
      </c>
    </row>
    <row r="25" spans="1:4">
      <c r="A25" s="27">
        <v>429</v>
      </c>
      <c r="B25" s="28" t="s">
        <v>434</v>
      </c>
      <c r="C25" s="28" t="s">
        <v>435</v>
      </c>
      <c r="D25" s="28" t="s">
        <v>446</v>
      </c>
    </row>
    <row r="26" spans="1:4">
      <c r="A26" s="27">
        <v>430</v>
      </c>
      <c r="B26" s="28" t="s">
        <v>434</v>
      </c>
      <c r="C26" s="28" t="s">
        <v>436</v>
      </c>
      <c r="D26" s="28" t="s">
        <v>446</v>
      </c>
    </row>
    <row r="27" spans="1:4">
      <c r="A27" s="27">
        <v>431</v>
      </c>
      <c r="B27" s="28" t="s">
        <v>434</v>
      </c>
      <c r="C27" s="28" t="s">
        <v>441</v>
      </c>
      <c r="D27" s="28" t="s">
        <v>446</v>
      </c>
    </row>
    <row r="28" spans="1:4">
      <c r="A28" s="27">
        <v>432</v>
      </c>
      <c r="B28" s="28" t="s">
        <v>429</v>
      </c>
      <c r="C28" s="28" t="s">
        <v>430</v>
      </c>
      <c r="D28" s="27" t="s">
        <v>299</v>
      </c>
    </row>
    <row r="29" spans="1:4">
      <c r="A29" s="27">
        <v>433</v>
      </c>
      <c r="B29" s="28" t="s">
        <v>429</v>
      </c>
      <c r="C29" s="28" t="s">
        <v>430</v>
      </c>
      <c r="D29" s="27" t="s">
        <v>298</v>
      </c>
    </row>
    <row r="30" spans="1:4">
      <c r="A30" s="27">
        <v>434</v>
      </c>
      <c r="B30" s="28" t="s">
        <v>434</v>
      </c>
      <c r="C30" s="28" t="s">
        <v>440</v>
      </c>
      <c r="D30" s="28" t="s">
        <v>446</v>
      </c>
    </row>
    <row r="31" spans="1:4">
      <c r="A31" s="27">
        <v>435</v>
      </c>
      <c r="B31" s="27" t="s">
        <v>294</v>
      </c>
      <c r="C31" s="28" t="s">
        <v>432</v>
      </c>
      <c r="D31" s="28" t="s">
        <v>414</v>
      </c>
    </row>
    <row r="32" spans="1:4">
      <c r="A32" s="27">
        <v>436</v>
      </c>
      <c r="B32" s="27" t="s">
        <v>294</v>
      </c>
      <c r="C32" s="28" t="s">
        <v>432</v>
      </c>
      <c r="D32" s="28" t="s">
        <v>415</v>
      </c>
    </row>
    <row r="33" spans="1:4">
      <c r="A33" s="27">
        <v>438</v>
      </c>
      <c r="B33" s="27" t="s">
        <v>292</v>
      </c>
      <c r="C33" s="28" t="s">
        <v>444</v>
      </c>
      <c r="D33" s="28" t="s">
        <v>406</v>
      </c>
    </row>
    <row r="34" spans="1:4">
      <c r="A34" s="27">
        <v>439</v>
      </c>
      <c r="B34" s="27" t="s">
        <v>292</v>
      </c>
      <c r="C34" s="28" t="s">
        <v>444</v>
      </c>
      <c r="D34" s="28" t="s">
        <v>407</v>
      </c>
    </row>
    <row r="35" spans="1:4">
      <c r="A35" s="27">
        <v>471</v>
      </c>
      <c r="B35" s="28" t="s">
        <v>422</v>
      </c>
      <c r="C35" s="28" t="s">
        <v>423</v>
      </c>
      <c r="D35" s="27" t="s">
        <v>301</v>
      </c>
    </row>
    <row r="36" spans="1:4">
      <c r="A36" s="27">
        <v>472</v>
      </c>
      <c r="B36" s="28" t="s">
        <v>434</v>
      </c>
      <c r="C36" s="28" t="s">
        <v>438</v>
      </c>
      <c r="D36" s="28" t="s">
        <v>446</v>
      </c>
    </row>
    <row r="37" spans="1:4">
      <c r="A37" s="27">
        <v>477</v>
      </c>
      <c r="B37" s="28" t="s">
        <v>434</v>
      </c>
      <c r="C37" s="28" t="s">
        <v>440</v>
      </c>
      <c r="D37" s="28" t="s">
        <v>446</v>
      </c>
    </row>
    <row r="38" spans="1:4">
      <c r="A38" s="27">
        <v>479</v>
      </c>
      <c r="B38" s="28" t="s">
        <v>422</v>
      </c>
      <c r="C38" s="28" t="s">
        <v>424</v>
      </c>
      <c r="D38" s="28" t="s">
        <v>425</v>
      </c>
    </row>
    <row r="39" spans="1:4">
      <c r="A39" s="27">
        <v>480</v>
      </c>
      <c r="B39" s="27" t="s">
        <v>294</v>
      </c>
      <c r="C39" s="28" t="s">
        <v>444</v>
      </c>
      <c r="D39" s="28" t="s">
        <v>447</v>
      </c>
    </row>
    <row r="40" spans="1:4">
      <c r="A40" s="27">
        <v>481</v>
      </c>
      <c r="B40" s="27" t="s">
        <v>294</v>
      </c>
      <c r="C40" s="28" t="s">
        <v>444</v>
      </c>
      <c r="D40" s="28" t="s">
        <v>448</v>
      </c>
    </row>
    <row r="41" spans="1:4">
      <c r="A41" s="27">
        <v>482</v>
      </c>
      <c r="B41" s="29" t="s">
        <v>428</v>
      </c>
      <c r="C41" s="28" t="s">
        <v>427</v>
      </c>
      <c r="D41" s="28" t="s">
        <v>442</v>
      </c>
    </row>
    <row r="42" spans="1:4">
      <c r="A42" s="27" t="s">
        <v>287</v>
      </c>
      <c r="B42" s="27" t="s">
        <v>292</v>
      </c>
      <c r="C42" s="28" t="s">
        <v>443</v>
      </c>
      <c r="D42" s="28" t="s">
        <v>409</v>
      </c>
    </row>
    <row r="43" spans="1:4">
      <c r="A43" s="27">
        <v>420</v>
      </c>
      <c r="B43" s="28" t="s">
        <v>434</v>
      </c>
      <c r="C43" s="28" t="s">
        <v>725</v>
      </c>
      <c r="D43" s="27"/>
    </row>
    <row r="44" spans="1:4">
      <c r="A44" s="100">
        <v>483</v>
      </c>
      <c r="B44" s="100" t="s">
        <v>434</v>
      </c>
      <c r="C44" s="100" t="s">
        <v>1805</v>
      </c>
      <c r="D44" s="100"/>
    </row>
    <row r="45" spans="1:4">
      <c r="A45" s="27">
        <v>484</v>
      </c>
      <c r="B45" s="28" t="s">
        <v>434</v>
      </c>
      <c r="C45" s="28" t="s">
        <v>1805</v>
      </c>
      <c r="D45" s="27"/>
    </row>
    <row r="46" spans="1:4">
      <c r="A46" s="27"/>
      <c r="B46" s="28"/>
      <c r="C46" s="28"/>
      <c r="D46" s="27"/>
    </row>
    <row r="47" spans="1:4">
      <c r="A47" s="27"/>
      <c r="B47" s="27"/>
      <c r="C47" s="27"/>
      <c r="D47" s="27"/>
    </row>
    <row r="48" spans="1:4">
      <c r="A48" s="27"/>
      <c r="B48" s="27"/>
      <c r="C48" s="27"/>
      <c r="D48" s="27"/>
    </row>
    <row r="49" spans="1:4">
      <c r="A49" s="27"/>
      <c r="B49" s="27"/>
      <c r="C49" s="27"/>
      <c r="D49" s="27"/>
    </row>
    <row r="50" spans="1:4">
      <c r="A50" s="27"/>
      <c r="B50" s="27"/>
      <c r="C50" s="27"/>
      <c r="D50" s="27"/>
    </row>
    <row r="51" spans="1:4">
      <c r="A51" s="27"/>
      <c r="B51" s="27"/>
      <c r="C51" s="27"/>
      <c r="D51" s="27"/>
    </row>
    <row r="52" spans="1:4">
      <c r="A52" s="27"/>
      <c r="B52" s="27"/>
      <c r="C52" s="27"/>
      <c r="D52" s="27"/>
    </row>
    <row r="53" spans="1:4">
      <c r="A53" s="27"/>
      <c r="B53" s="27"/>
      <c r="C53" s="27"/>
      <c r="D53" s="27"/>
    </row>
    <row r="54" spans="1:4">
      <c r="A54" s="27"/>
      <c r="B54" s="27"/>
      <c r="C54" s="27"/>
      <c r="D54" s="27"/>
    </row>
    <row r="55" spans="1:4">
      <c r="A55" s="27"/>
      <c r="B55" s="27"/>
      <c r="C55" s="27"/>
      <c r="D55" s="27"/>
    </row>
    <row r="56" spans="1:4">
      <c r="A56" s="27"/>
      <c r="B56" s="27"/>
      <c r="C56" s="27"/>
      <c r="D56" s="27"/>
    </row>
    <row r="57" spans="1:4">
      <c r="A57" s="27"/>
      <c r="B57" s="27"/>
      <c r="C57" s="27"/>
      <c r="D57" s="27"/>
    </row>
    <row r="58" spans="1:4">
      <c r="A58" s="27"/>
      <c r="B58" s="27"/>
      <c r="C58" s="27"/>
      <c r="D58" s="27"/>
    </row>
    <row r="59" spans="1:4">
      <c r="A59" s="27"/>
      <c r="B59" s="27"/>
      <c r="C59" s="27"/>
      <c r="D59" s="27"/>
    </row>
    <row r="60" spans="1:4">
      <c r="A60" s="27"/>
      <c r="B60" s="27"/>
      <c r="C60" s="27"/>
      <c r="D60" s="27"/>
    </row>
    <row r="61" spans="1:4">
      <c r="A61" s="27"/>
      <c r="B61" s="27"/>
      <c r="C61" s="27"/>
      <c r="D61" s="27"/>
    </row>
    <row r="62" spans="1:4">
      <c r="A62" s="27"/>
      <c r="B62" s="27"/>
      <c r="C62" s="27"/>
      <c r="D62" s="27"/>
    </row>
    <row r="63" spans="1:4">
      <c r="A63" s="27"/>
      <c r="B63" s="27"/>
      <c r="C63" s="27"/>
      <c r="D63" s="27"/>
    </row>
    <row r="64" spans="1:4">
      <c r="A64" s="27"/>
      <c r="B64" s="27"/>
      <c r="C64" s="27"/>
      <c r="D64" s="27"/>
    </row>
    <row r="65" spans="1:4">
      <c r="A65" s="27"/>
      <c r="B65" s="27"/>
      <c r="C65" s="27"/>
      <c r="D65" s="27"/>
    </row>
    <row r="66" spans="1:4">
      <c r="A66" s="27"/>
      <c r="B66" s="27"/>
      <c r="C66" s="27"/>
      <c r="D66" s="27"/>
    </row>
    <row r="67" spans="1:4">
      <c r="A67" s="27"/>
      <c r="B67" s="27"/>
      <c r="C67" s="27"/>
      <c r="D67" s="27"/>
    </row>
    <row r="68" spans="1:4">
      <c r="A68" s="27"/>
      <c r="B68" s="27"/>
      <c r="C68" s="27"/>
      <c r="D68" s="27"/>
    </row>
    <row r="69" spans="1:4">
      <c r="A69" s="27"/>
      <c r="B69" s="27"/>
      <c r="C69" s="27"/>
      <c r="D69" s="27"/>
    </row>
    <row r="70" spans="1:4">
      <c r="A70" s="27"/>
      <c r="B70" s="27"/>
      <c r="C70" s="27"/>
      <c r="D70" s="27"/>
    </row>
    <row r="71" spans="1:4">
      <c r="A71" s="27"/>
      <c r="B71" s="27"/>
      <c r="C71" s="27"/>
      <c r="D71" s="27"/>
    </row>
    <row r="72" spans="1:4">
      <c r="A72" s="27"/>
      <c r="B72" s="27"/>
      <c r="C72" s="27"/>
      <c r="D72" s="27"/>
    </row>
    <row r="73" spans="1:4">
      <c r="A73" s="27"/>
      <c r="B73" s="27"/>
      <c r="C73" s="27"/>
      <c r="D73" s="27"/>
    </row>
    <row r="74" spans="1:4">
      <c r="A74" s="27"/>
      <c r="B74" s="27"/>
      <c r="C74" s="27"/>
      <c r="D74" s="27"/>
    </row>
    <row r="75" spans="1:4">
      <c r="A75" s="27"/>
      <c r="B75" s="27"/>
      <c r="C75" s="27"/>
      <c r="D75" s="27"/>
    </row>
    <row r="76" spans="1:4">
      <c r="A76" s="27"/>
      <c r="B76" s="27"/>
      <c r="C76" s="27"/>
      <c r="D76" s="27"/>
    </row>
    <row r="77" spans="1:4">
      <c r="A77" s="27"/>
      <c r="B77" s="27"/>
      <c r="C77" s="27"/>
      <c r="D77" s="27"/>
    </row>
    <row r="78" spans="1:4">
      <c r="A78" s="27"/>
      <c r="B78" s="27"/>
      <c r="C78" s="27"/>
      <c r="D78" s="27"/>
    </row>
    <row r="79" spans="1:4">
      <c r="A79" s="27"/>
      <c r="B79" s="27"/>
      <c r="C79" s="27"/>
      <c r="D79" s="27"/>
    </row>
    <row r="80" spans="1:4">
      <c r="A80" s="27"/>
      <c r="B80" s="27"/>
      <c r="C80" s="27"/>
      <c r="D80" s="27"/>
    </row>
    <row r="81" spans="1:4">
      <c r="A81" s="27"/>
      <c r="B81" s="27"/>
      <c r="C81" s="27"/>
      <c r="D81" s="27"/>
    </row>
    <row r="82" spans="1:4">
      <c r="A82" s="27"/>
      <c r="B82" s="27"/>
      <c r="C82" s="27"/>
      <c r="D82" s="27"/>
    </row>
    <row r="83" spans="1:4">
      <c r="A83" s="27"/>
      <c r="B83" s="27"/>
      <c r="C83" s="27"/>
      <c r="D83" s="27"/>
    </row>
    <row r="84" spans="1:4">
      <c r="A84" s="27"/>
      <c r="B84" s="27"/>
      <c r="C84" s="27"/>
      <c r="D84" s="27"/>
    </row>
    <row r="85" spans="1:4">
      <c r="A85" s="27"/>
      <c r="B85" s="27"/>
      <c r="C85" s="27"/>
      <c r="D85" s="27"/>
    </row>
    <row r="86" spans="1:4">
      <c r="A86" s="27"/>
      <c r="B86" s="27"/>
      <c r="C86" s="27"/>
      <c r="D86" s="27"/>
    </row>
    <row r="87" spans="1:4">
      <c r="A87" s="27"/>
      <c r="B87" s="27"/>
      <c r="C87" s="27"/>
      <c r="D87" s="27"/>
    </row>
    <row r="88" spans="1:4">
      <c r="A88" s="27"/>
      <c r="B88" s="27"/>
      <c r="C88" s="27"/>
      <c r="D88" s="27"/>
    </row>
    <row r="89" spans="1:4">
      <c r="A89" s="27"/>
      <c r="B89" s="27"/>
      <c r="C89" s="27"/>
      <c r="D89" s="27"/>
    </row>
    <row r="90" spans="1:4" ht="12.75" customHeight="1">
      <c r="A90" s="27"/>
      <c r="B90" s="27"/>
      <c r="C90" s="27"/>
      <c r="D90" s="27"/>
    </row>
    <row r="91" spans="1:4" ht="48" customHeight="1">
      <c r="A91" s="27"/>
      <c r="B91" s="27"/>
      <c r="C91" s="27"/>
    </row>
  </sheetData>
  <pageMargins left="0.7" right="0.7" top="0.75" bottom="0.75" header="0.3" footer="0.3"/>
  <pageSetup paperSize="9" scale="82" orientation="portrait" r:id="rId1"/>
  <tableParts count="1">
    <tablePart r:id="rId2"/>
  </tableParts>
</worksheet>
</file>

<file path=xl/worksheets/sheet4.xml><?xml version="1.0" encoding="utf-8"?>
<worksheet xmlns="http://schemas.openxmlformats.org/spreadsheetml/2006/main" xmlns:r="http://schemas.openxmlformats.org/officeDocument/2006/relationships">
  <dimension ref="A1:AF27"/>
  <sheetViews>
    <sheetView topLeftCell="Z1" workbookViewId="0">
      <selection activeCell="Z1" sqref="Z1:AG27"/>
    </sheetView>
  </sheetViews>
  <sheetFormatPr baseColWidth="10" defaultRowHeight="15"/>
  <cols>
    <col min="1" max="1" width="12.5703125" bestFit="1" customWidth="1"/>
    <col min="2" max="2" width="23.85546875" customWidth="1"/>
    <col min="3" max="3" width="1.85546875" bestFit="1" customWidth="1"/>
    <col min="4" max="4" width="2.5703125" bestFit="1" customWidth="1"/>
    <col min="5" max="5" width="5" customWidth="1"/>
    <col min="6" max="6" width="4.140625" customWidth="1"/>
    <col min="7" max="7" width="2.140625" bestFit="1" customWidth="1"/>
    <col min="8" max="8" width="2.5703125" customWidth="1"/>
    <col min="9" max="9" width="3.140625" customWidth="1"/>
    <col min="10" max="10" width="6.28515625" customWidth="1"/>
    <col min="11" max="11" width="12.5703125" bestFit="1" customWidth="1"/>
    <col min="26" max="26" width="11.5703125" customWidth="1"/>
    <col min="27" max="27" width="11.85546875" customWidth="1"/>
    <col min="28" max="28" width="11.5703125" customWidth="1"/>
    <col min="29" max="31" width="11.85546875" customWidth="1"/>
  </cols>
  <sheetData>
    <row r="1" spans="1:32" ht="15.75">
      <c r="AA1" s="102"/>
      <c r="AB1" s="102"/>
      <c r="AC1" s="102"/>
      <c r="AD1" s="102"/>
      <c r="AE1" s="102"/>
      <c r="AF1" s="102"/>
    </row>
    <row r="2" spans="1:32" ht="15.75">
      <c r="AA2" s="102"/>
      <c r="AB2" s="102"/>
      <c r="AC2" s="102"/>
      <c r="AD2" s="102"/>
      <c r="AE2" s="102"/>
      <c r="AF2" s="102"/>
    </row>
    <row r="3" spans="1:32" ht="15.75">
      <c r="A3" s="249"/>
      <c r="B3" s="250"/>
      <c r="C3" s="251"/>
      <c r="AA3" s="102"/>
      <c r="AB3" s="102"/>
      <c r="AC3" s="102"/>
      <c r="AD3" s="102"/>
      <c r="AE3" s="102"/>
      <c r="AF3" s="102"/>
    </row>
    <row r="4" spans="1:32" ht="15.75" customHeight="1">
      <c r="A4" s="252"/>
      <c r="B4" s="253"/>
      <c r="C4" s="254"/>
      <c r="Z4" t="s">
        <v>2727</v>
      </c>
      <c r="AA4" s="102" t="s">
        <v>2728</v>
      </c>
      <c r="AB4" t="s">
        <v>2729</v>
      </c>
      <c r="AC4" s="102" t="s">
        <v>2730</v>
      </c>
      <c r="AD4" s="102" t="s">
        <v>2731</v>
      </c>
      <c r="AE4" s="102" t="s">
        <v>2732</v>
      </c>
      <c r="AF4" s="102"/>
    </row>
    <row r="5" spans="1:32" ht="15.75" customHeight="1">
      <c r="A5" s="252"/>
      <c r="B5" s="253"/>
      <c r="C5" s="254"/>
      <c r="AA5" s="102"/>
      <c r="AD5" s="102"/>
      <c r="AE5" s="102"/>
      <c r="AF5" s="102"/>
    </row>
    <row r="6" spans="1:32" ht="15.75" customHeight="1">
      <c r="A6" s="252"/>
      <c r="B6" s="253"/>
      <c r="C6" s="254"/>
      <c r="AA6" s="102"/>
      <c r="AB6" s="102"/>
      <c r="AC6" s="102"/>
      <c r="AD6" s="102"/>
      <c r="AE6" s="102"/>
    </row>
    <row r="7" spans="1:32" ht="15.75" customHeight="1">
      <c r="A7" s="252"/>
      <c r="B7" s="253"/>
      <c r="C7" s="254"/>
      <c r="AA7" s="102"/>
      <c r="AB7" s="102"/>
      <c r="AC7" s="102"/>
      <c r="AD7" s="102"/>
      <c r="AE7" s="102"/>
      <c r="AF7" s="102"/>
    </row>
    <row r="8" spans="1:32" ht="15.75" customHeight="1">
      <c r="A8" s="252"/>
      <c r="B8" s="253"/>
      <c r="C8" s="254"/>
      <c r="AA8" s="102"/>
      <c r="AB8" s="102"/>
      <c r="AC8" s="102"/>
      <c r="AD8" s="102"/>
      <c r="AE8" s="102"/>
      <c r="AF8" s="102"/>
    </row>
    <row r="9" spans="1:32" ht="15.75" customHeight="1">
      <c r="A9" s="252"/>
      <c r="B9" s="253"/>
      <c r="C9" s="254"/>
      <c r="AA9" s="102"/>
      <c r="AB9" s="102"/>
      <c r="AC9" s="102"/>
      <c r="AD9" s="102"/>
      <c r="AE9" s="102"/>
      <c r="AF9" s="102"/>
    </row>
    <row r="10" spans="1:32" ht="15.75" customHeight="1">
      <c r="A10" s="252"/>
      <c r="B10" s="253"/>
      <c r="C10" s="254"/>
      <c r="AA10" s="102"/>
      <c r="AB10" s="102"/>
      <c r="AC10" s="102"/>
      <c r="AD10" s="102"/>
      <c r="AE10" s="102"/>
      <c r="AF10" s="102"/>
    </row>
    <row r="11" spans="1:32" ht="15.75" customHeight="1">
      <c r="A11" s="252"/>
      <c r="B11" s="253"/>
      <c r="C11" s="254"/>
      <c r="AA11" s="102"/>
      <c r="AB11" s="102"/>
      <c r="AC11" s="102"/>
      <c r="AD11" s="102"/>
      <c r="AE11" s="102"/>
      <c r="AF11" s="102"/>
    </row>
    <row r="12" spans="1:32" ht="15.75" customHeight="1">
      <c r="A12" s="252"/>
      <c r="B12" s="253"/>
      <c r="C12" s="254"/>
      <c r="AA12" s="102"/>
      <c r="AB12" s="102"/>
      <c r="AC12" s="102"/>
      <c r="AD12" s="102"/>
      <c r="AE12" s="102"/>
      <c r="AF12" s="102"/>
    </row>
    <row r="13" spans="1:32" ht="15.75" customHeight="1">
      <c r="A13" s="252"/>
      <c r="B13" s="253"/>
      <c r="C13" s="254"/>
      <c r="AA13" s="102"/>
      <c r="AB13" s="102"/>
      <c r="AC13" s="102"/>
      <c r="AD13" s="102"/>
      <c r="AE13" s="102"/>
      <c r="AF13" s="102"/>
    </row>
    <row r="14" spans="1:32" ht="15.75" customHeight="1">
      <c r="A14" s="252"/>
      <c r="B14" s="253"/>
      <c r="C14" s="254"/>
      <c r="AA14" s="102"/>
      <c r="AB14" s="102"/>
      <c r="AC14" s="102"/>
      <c r="AD14" s="102"/>
      <c r="AE14" s="102"/>
      <c r="AF14" s="102"/>
    </row>
    <row r="15" spans="1:32" ht="15.75" customHeight="1">
      <c r="A15" s="252"/>
      <c r="B15" s="253"/>
      <c r="C15" s="254"/>
      <c r="AA15" s="102"/>
      <c r="AB15" s="102"/>
      <c r="AC15" s="102"/>
      <c r="AD15" s="102"/>
      <c r="AE15" s="102"/>
      <c r="AF15" s="102"/>
    </row>
    <row r="16" spans="1:32" ht="15.75" customHeight="1">
      <c r="A16" s="252"/>
      <c r="B16" s="253"/>
      <c r="C16" s="254"/>
      <c r="AA16" s="102"/>
      <c r="AB16" s="102"/>
      <c r="AC16" s="102"/>
      <c r="AD16" s="102"/>
      <c r="AE16" s="102"/>
      <c r="AF16" s="102"/>
    </row>
    <row r="17" spans="1:32" ht="15.75" customHeight="1">
      <c r="A17" s="252"/>
      <c r="B17" s="253"/>
      <c r="C17" s="254"/>
      <c r="AA17" s="102"/>
      <c r="AB17" s="102"/>
      <c r="AC17" s="102"/>
      <c r="AD17" s="102"/>
      <c r="AE17" s="102"/>
      <c r="AF17" s="102"/>
    </row>
    <row r="18" spans="1:32" ht="15.75" customHeight="1">
      <c r="A18" s="252"/>
      <c r="B18" s="253"/>
      <c r="C18" s="254"/>
      <c r="AA18" s="102"/>
      <c r="AB18" s="102"/>
      <c r="AC18" s="102"/>
      <c r="AD18" s="102"/>
      <c r="AE18" s="102"/>
      <c r="AF18" s="102"/>
    </row>
    <row r="19" spans="1:32" ht="15.75" customHeight="1">
      <c r="A19" s="252"/>
      <c r="B19" s="253"/>
      <c r="C19" s="254"/>
      <c r="AA19" s="102"/>
      <c r="AB19" s="102"/>
      <c r="AC19" s="102"/>
      <c r="AD19" s="102"/>
      <c r="AE19" s="102"/>
      <c r="AF19" s="102"/>
    </row>
    <row r="20" spans="1:32" ht="15.75" customHeight="1">
      <c r="A20" s="255"/>
      <c r="B20" s="256"/>
      <c r="C20" s="257"/>
      <c r="AA20" s="102"/>
      <c r="AB20" s="102"/>
      <c r="AC20" s="102"/>
      <c r="AD20" s="102"/>
      <c r="AE20" s="102"/>
      <c r="AF20" s="102"/>
    </row>
    <row r="21" spans="1:32" ht="15.75" customHeight="1">
      <c r="AA21" s="102"/>
      <c r="AB21" s="102"/>
      <c r="AC21" s="102"/>
      <c r="AD21" s="102"/>
      <c r="AE21" s="102"/>
      <c r="AF21" s="102"/>
    </row>
    <row r="22" spans="1:32" ht="15.75" customHeight="1">
      <c r="AA22" s="102"/>
      <c r="AB22" s="102"/>
      <c r="AC22" s="102"/>
      <c r="AD22" s="102"/>
      <c r="AE22" s="102"/>
      <c r="AF22" s="102"/>
    </row>
    <row r="23" spans="1:32" ht="15.75" customHeight="1">
      <c r="AA23" s="102"/>
      <c r="AB23" s="102"/>
      <c r="AC23" s="102"/>
      <c r="AD23" s="102"/>
      <c r="AE23" s="102"/>
      <c r="AF23" s="102"/>
    </row>
    <row r="24" spans="1:32" ht="15.75" customHeight="1">
      <c r="AA24" s="102"/>
      <c r="AB24" s="102"/>
      <c r="AC24" s="102"/>
      <c r="AD24" s="102"/>
      <c r="AE24" s="102"/>
      <c r="AF24" s="102"/>
    </row>
    <row r="25" spans="1:32" ht="15.75" customHeight="1">
      <c r="AA25" s="102"/>
      <c r="AB25" s="102"/>
      <c r="AC25" s="102"/>
      <c r="AD25" s="102"/>
      <c r="AE25" s="102"/>
      <c r="AF25" s="102"/>
    </row>
    <row r="26" spans="1:32" ht="15.75">
      <c r="AA26" s="102"/>
      <c r="AB26" s="102"/>
      <c r="AC26" s="102"/>
      <c r="AD26" s="102"/>
      <c r="AE26" s="102"/>
      <c r="AF26" s="102"/>
    </row>
    <row r="27" spans="1:32" ht="15.75">
      <c r="AA27" s="102"/>
    </row>
  </sheetData>
  <conditionalFormatting sqref="AA5:AA25 Z6:Z25 AC5 AD5:AE25 AB6:AC25">
    <cfRule type="colorScale" priority="2">
      <colorScale>
        <cfvo type="min" val="0"/>
        <cfvo type="percentile" val="50"/>
        <cfvo type="max" val="0"/>
        <color rgb="FFF8696B"/>
        <color rgb="FFFFEB84"/>
        <color rgb="FF63BE7B"/>
      </colorScale>
    </cfRule>
  </conditionalFormatting>
  <conditionalFormatting sqref="AC4:AE4 AA4">
    <cfRule type="colorScale" priority="1">
      <colorScale>
        <cfvo type="min" val="0"/>
        <cfvo type="percentile" val="50"/>
        <cfvo type="max" val="0"/>
        <color rgb="FFF8696B"/>
        <color rgb="FFFFEB84"/>
        <color rgb="FF63BE7B"/>
      </colorScale>
    </cfRule>
  </conditionalFormatting>
  <pageMargins left="0.7" right="0.7" top="0.75" bottom="0.75" header="0.3" footer="0.3"/>
  <pageSetup paperSize="9" orientation="portrait" r:id="rId2"/>
  <legacyDrawing r:id="rId3"/>
  <tableParts count="1">
    <tablePart r:id="rId4"/>
  </tableParts>
</worksheet>
</file>

<file path=xl/worksheets/sheet5.xml><?xml version="1.0" encoding="utf-8"?>
<worksheet xmlns="http://schemas.openxmlformats.org/spreadsheetml/2006/main" xmlns:r="http://schemas.openxmlformats.org/officeDocument/2006/relationships">
  <sheetPr codeName="Feuil4">
    <tabColor rgb="FF00B050"/>
  </sheetPr>
  <dimension ref="A1:T1549"/>
  <sheetViews>
    <sheetView showGridLines="0" tabSelected="1" zoomScale="70" zoomScaleNormal="70" zoomScaleSheetLayoutView="50" workbookViewId="0">
      <pane xSplit="5" ySplit="5" topLeftCell="F1167" activePane="bottomRight" state="frozen"/>
      <selection activeCell="P55" sqref="P55"/>
      <selection pane="topRight" activeCell="P55" sqref="P55"/>
      <selection pane="bottomLeft" activeCell="P55" sqref="P55"/>
      <selection pane="bottomRight" activeCell="A1473" sqref="A1473"/>
    </sheetView>
  </sheetViews>
  <sheetFormatPr baseColWidth="10" defaultColWidth="11.42578125" defaultRowHeight="15.75"/>
  <cols>
    <col min="1" max="1" width="17.7109375" style="59" bestFit="1" customWidth="1"/>
    <col min="2" max="2" width="10.85546875" style="59" customWidth="1"/>
    <col min="3" max="3" width="22.5703125" style="60" bestFit="1" customWidth="1"/>
    <col min="4" max="4" width="21.140625" style="60" bestFit="1" customWidth="1"/>
    <col min="5" max="5" width="20.140625" style="60" bestFit="1" customWidth="1"/>
    <col min="6" max="6" width="15.85546875" style="60" customWidth="1"/>
    <col min="7" max="8" width="22.28515625" style="59" customWidth="1"/>
    <col min="9" max="9" width="22.140625" style="59" bestFit="1" customWidth="1"/>
    <col min="10" max="10" width="70" style="60" customWidth="1"/>
    <col min="11" max="11" width="12" style="59" customWidth="1"/>
    <col min="12" max="12" width="17.85546875" style="59" bestFit="1" customWidth="1"/>
    <col min="13" max="13" width="17.85546875" style="59" customWidth="1"/>
    <col min="14" max="14" width="33" style="58" bestFit="1" customWidth="1"/>
    <col min="15" max="15" width="16.85546875" style="44" customWidth="1"/>
    <col min="16" max="16" width="8.5703125" style="44" customWidth="1"/>
    <col min="17" max="17" width="11.42578125" style="58" bestFit="1" customWidth="1"/>
    <col min="18" max="18" width="11.42578125" style="44" bestFit="1" customWidth="1"/>
    <col min="19" max="20" width="11.42578125" style="44"/>
    <col min="21" max="16384" width="11.42578125" style="4"/>
  </cols>
  <sheetData>
    <row r="1" spans="1:20" customFormat="1" ht="15.75" customHeight="1" thickBot="1">
      <c r="A1" s="258"/>
      <c r="B1" s="258"/>
      <c r="C1" s="258"/>
      <c r="D1" s="259" t="s">
        <v>1908</v>
      </c>
      <c r="E1" s="259"/>
      <c r="F1" s="259"/>
      <c r="G1" s="259"/>
      <c r="H1" s="259"/>
      <c r="I1" s="259"/>
      <c r="J1" s="259"/>
      <c r="K1" s="259"/>
      <c r="L1" s="259"/>
      <c r="M1" s="260" t="s">
        <v>1909</v>
      </c>
      <c r="N1" s="261"/>
      <c r="O1" s="262"/>
    </row>
    <row r="2" spans="1:20" customFormat="1" thickBot="1">
      <c r="A2" s="258"/>
      <c r="B2" s="258"/>
      <c r="C2" s="258"/>
      <c r="D2" s="259"/>
      <c r="E2" s="259"/>
      <c r="F2" s="259"/>
      <c r="G2" s="259"/>
      <c r="H2" s="259"/>
      <c r="I2" s="259"/>
      <c r="J2" s="259"/>
      <c r="K2" s="259"/>
      <c r="L2" s="259"/>
      <c r="M2" s="260" t="s">
        <v>1910</v>
      </c>
      <c r="N2" s="261"/>
      <c r="O2" s="262"/>
    </row>
    <row r="3" spans="1:20" customFormat="1" ht="15.75" customHeight="1" thickBot="1">
      <c r="A3" s="258"/>
      <c r="B3" s="258"/>
      <c r="C3" s="258"/>
      <c r="D3" s="259" t="s">
        <v>903</v>
      </c>
      <c r="E3" s="259"/>
      <c r="F3" s="259"/>
      <c r="G3" s="259"/>
      <c r="H3" s="259"/>
      <c r="I3" s="259"/>
      <c r="J3" s="259"/>
      <c r="K3" s="259"/>
      <c r="L3" s="259"/>
      <c r="M3" s="260" t="s">
        <v>1911</v>
      </c>
      <c r="N3" s="261"/>
      <c r="O3" s="262"/>
    </row>
    <row r="4" spans="1:20" customFormat="1" thickBot="1">
      <c r="A4" s="258"/>
      <c r="B4" s="258"/>
      <c r="C4" s="258"/>
      <c r="D4" s="259"/>
      <c r="E4" s="259"/>
      <c r="F4" s="259"/>
      <c r="G4" s="259"/>
      <c r="H4" s="259"/>
      <c r="I4" s="259"/>
      <c r="J4" s="259"/>
      <c r="K4" s="259"/>
      <c r="L4" s="259"/>
      <c r="M4" s="260" t="s">
        <v>1912</v>
      </c>
      <c r="N4" s="261"/>
      <c r="O4" s="262"/>
    </row>
    <row r="5" spans="1:20" s="25" customFormat="1" ht="66.75" customHeight="1">
      <c r="A5" s="32" t="s">
        <v>279</v>
      </c>
      <c r="B5" s="32" t="s">
        <v>4</v>
      </c>
      <c r="C5" s="32" t="s">
        <v>288</v>
      </c>
      <c r="D5" s="32" t="s">
        <v>296</v>
      </c>
      <c r="E5" s="32" t="s">
        <v>291</v>
      </c>
      <c r="F5" s="32" t="s">
        <v>367</v>
      </c>
      <c r="G5" s="32" t="s">
        <v>295</v>
      </c>
      <c r="H5" s="32" t="s">
        <v>281</v>
      </c>
      <c r="I5" s="32" t="s">
        <v>2</v>
      </c>
      <c r="J5" s="33" t="s">
        <v>280</v>
      </c>
      <c r="K5" s="32" t="s">
        <v>365</v>
      </c>
      <c r="L5" s="32" t="s">
        <v>2490</v>
      </c>
      <c r="M5" s="32" t="s">
        <v>2489</v>
      </c>
      <c r="N5" s="32" t="s">
        <v>459</v>
      </c>
      <c r="O5" s="32" t="s">
        <v>282</v>
      </c>
      <c r="P5" s="32" t="s">
        <v>366</v>
      </c>
      <c r="Q5" s="32" t="s">
        <v>285</v>
      </c>
      <c r="R5" s="32" t="s">
        <v>284</v>
      </c>
      <c r="S5" s="34"/>
      <c r="T5" s="34"/>
    </row>
    <row r="6" spans="1:20" s="25" customFormat="1" ht="45" customHeight="1">
      <c r="A6" s="35">
        <v>37450</v>
      </c>
      <c r="B6" s="36">
        <v>417</v>
      </c>
      <c r="C6" s="37" t="str">
        <f>IF(ISNA(VLOOKUP(Tableau13[[#This Row],[Code]],'Code Véhicule'!$A$4:$C$185,2,0)),"",VLOOKUP(Tableau13[[#This Row],[Code]],'Code Véhicule'!$A$4:$C$185,2,0))</f>
        <v>Voiture de fonction</v>
      </c>
      <c r="D6" s="38" t="str">
        <f>IF(ISNA(VLOOKUP(Tableau13[[#This Row],[Code]],'Code Véhicule'!$A$4:$C$185,3,0)),"",VLOOKUP(Tableau13[[#This Row],[Code]],'Code Véhicule'!$A$4:$C$185,3,0))</f>
        <v>Berlingo</v>
      </c>
      <c r="E6" s="36" t="str">
        <f>IF(ISNA(VLOOKUP(Tableau13[[#This Row],[Code]],'Code Véhicule'!$A$4:$D$185,4,0))," ",VLOOKUP(Tableau13[[#This Row],[Code]],'Code Véhicule'!$A$4:$D$185,4,0))</f>
        <v>981-A-73</v>
      </c>
      <c r="F6" s="36">
        <v>25609</v>
      </c>
      <c r="G6" s="38" t="s">
        <v>393</v>
      </c>
      <c r="H6" s="38" t="s">
        <v>608</v>
      </c>
      <c r="I6" s="36" t="s">
        <v>322</v>
      </c>
      <c r="J6" s="39" t="s">
        <v>1231</v>
      </c>
      <c r="K6" s="36">
        <v>166239</v>
      </c>
      <c r="L6" s="40">
        <v>120</v>
      </c>
      <c r="M6" s="40">
        <v>120</v>
      </c>
      <c r="N6" s="41">
        <v>44390</v>
      </c>
      <c r="O6" s="45"/>
      <c r="P6" s="45"/>
      <c r="Q6" s="176" t="e">
        <f>MONTH([1]!Tableau13[[#This Row],[Date début]])</f>
        <v>#REF!</v>
      </c>
      <c r="R6" s="180" t="e">
        <f>YEAR([1]!Tableau13[[#This Row],[Date début]])</f>
        <v>#REF!</v>
      </c>
      <c r="S6" s="34"/>
      <c r="T6" s="34"/>
    </row>
    <row r="7" spans="1:20" s="25" customFormat="1" ht="45" customHeight="1">
      <c r="A7" s="35">
        <v>43770</v>
      </c>
      <c r="B7" s="36">
        <v>401</v>
      </c>
      <c r="C7" s="37" t="str">
        <f>IF(ISNA(VLOOKUP(Tableau13[[#This Row],[Code]],'Code Véhicule'!$A$4:$C$185,2,0)),"",VLOOKUP(Tableau13[[#This Row],[Code]],'Code Véhicule'!$A$4:$C$185,2,0))</f>
        <v>Camion</v>
      </c>
      <c r="D7" s="38" t="str">
        <f>IF(ISNA(VLOOKUP(Tableau13[[#This Row],[Code]],'Code Véhicule'!$A$4:$C$185,3,0)),"",VLOOKUP(Tableau13[[#This Row],[Code]],'Code Véhicule'!$A$4:$C$185,3,0))</f>
        <v>ISUZU</v>
      </c>
      <c r="E7" s="36" t="str">
        <f>IF(ISNA(VLOOKUP(Tableau13[[#This Row],[Code]],'Code Véhicule'!$A$4:$D$185,4,0))," ",VLOOKUP(Tableau13[[#This Row],[Code]],'Code Véhicule'!$A$4:$D$185,4,0))</f>
        <v>26128-A-8</v>
      </c>
      <c r="F7" s="36"/>
      <c r="G7" s="38" t="s">
        <v>402</v>
      </c>
      <c r="H7" s="38" t="s">
        <v>632</v>
      </c>
      <c r="I7" s="36" t="s">
        <v>304</v>
      </c>
      <c r="J7" s="42" t="s">
        <v>309</v>
      </c>
      <c r="K7" s="36"/>
      <c r="L7" s="40"/>
      <c r="M7" s="36"/>
      <c r="N7" s="35">
        <v>43770</v>
      </c>
      <c r="O7" s="38"/>
      <c r="P7" s="38"/>
      <c r="Q7" s="176" t="e">
        <f>MONTH([1]!Tableau13[[#This Row],[Date début]])</f>
        <v>#REF!</v>
      </c>
      <c r="R7" s="180" t="e">
        <f>YEAR([1]!Tableau13[[#This Row],[Date début]])</f>
        <v>#REF!</v>
      </c>
      <c r="S7" s="34"/>
      <c r="T7" s="34"/>
    </row>
    <row r="8" spans="1:20" s="25" customFormat="1" ht="30" customHeight="1">
      <c r="A8" s="35">
        <v>43770</v>
      </c>
      <c r="B8" s="36">
        <v>434</v>
      </c>
      <c r="C8" s="37" t="str">
        <f>IF(ISNA(VLOOKUP(Tableau13[[#This Row],[Code]],'Code Véhicule'!$A$4:$C$185,2,0)),"",VLOOKUP(Tableau13[[#This Row],[Code]],'Code Véhicule'!$A$4:$C$185,2,0))</f>
        <v>Chariot elevateur</v>
      </c>
      <c r="D8" s="38" t="str">
        <f>IF(ISNA(VLOOKUP(Tableau13[[#This Row],[Code]],'Code Véhicule'!$A$4:$C$185,3,0)),"",VLOOKUP(Tableau13[[#This Row],[Code]],'Code Véhicule'!$A$4:$C$185,3,0))</f>
        <v>Linde H30D</v>
      </c>
      <c r="E8" s="36" t="str">
        <f>IF(ISNA(VLOOKUP(Tableau13[[#This Row],[Code]],'Code Véhicule'!$A$4:$D$185,4,0))," ",VLOOKUP(Tableau13[[#This Row],[Code]],'Code Véhicule'!$A$4:$D$185,4,0))</f>
        <v>-</v>
      </c>
      <c r="F8" s="36"/>
      <c r="G8" s="38" t="s">
        <v>389</v>
      </c>
      <c r="H8" s="38" t="s">
        <v>633</v>
      </c>
      <c r="I8" s="36" t="s">
        <v>304</v>
      </c>
      <c r="J8" s="43" t="s">
        <v>341</v>
      </c>
      <c r="K8" s="36"/>
      <c r="L8" s="40"/>
      <c r="M8" s="36" t="str">
        <f>IF(ISBLANK(Tableau13[[#This Row],[N BS]]),"",(Tableau13[[#This Row],[N BS]]-Tableau13[[#This Row],[Date début]]))</f>
        <v/>
      </c>
      <c r="N8" s="35">
        <v>43770</v>
      </c>
      <c r="O8" s="38"/>
      <c r="P8" s="38"/>
      <c r="Q8" s="176" t="e">
        <f>MONTH([1]!Tableau13[[#This Row],[Date début]])</f>
        <v>#REF!</v>
      </c>
      <c r="R8" s="180" t="e">
        <f>YEAR([1]!Tableau13[[#This Row],[Date début]])</f>
        <v>#REF!</v>
      </c>
      <c r="S8" s="34"/>
      <c r="T8" s="34"/>
    </row>
    <row r="9" spans="1:20" s="25" customFormat="1" ht="15.75" customHeight="1">
      <c r="A9" s="35">
        <v>43773</v>
      </c>
      <c r="B9" s="36">
        <v>481</v>
      </c>
      <c r="C9" s="37" t="str">
        <f>IF(ISNA(VLOOKUP(Tableau13[[#This Row],[Code]],'Code Véhicule'!$A$4:$C$185,2,0)),"",VLOOKUP(Tableau13[[#This Row],[Code]],'Code Véhicule'!$A$4:$C$185,2,0))</f>
        <v>Camion</v>
      </c>
      <c r="D9" s="38" t="str">
        <f>IF(ISNA(VLOOKUP(Tableau13[[#This Row],[Code]],'Code Véhicule'!$A$4:$C$185,3,0)),"",VLOOKUP(Tableau13[[#This Row],[Code]],'Code Véhicule'!$A$4:$C$185,3,0))</f>
        <v>VOLVO</v>
      </c>
      <c r="E9" s="36" t="str">
        <f>IF(ISNA(VLOOKUP(Tableau13[[#This Row],[Code]],'Code Véhicule'!$A$4:$D$185,4,0))," ",VLOOKUP(Tableau13[[#This Row],[Code]],'Code Véhicule'!$A$4:$D$185,4,0))</f>
        <v>22300-A-73</v>
      </c>
      <c r="F9" s="36"/>
      <c r="G9" s="38" t="s">
        <v>398</v>
      </c>
      <c r="H9" s="38" t="s">
        <v>630</v>
      </c>
      <c r="I9" s="36" t="s">
        <v>304</v>
      </c>
      <c r="J9" s="43" t="s">
        <v>303</v>
      </c>
      <c r="K9" s="36"/>
      <c r="L9" s="40"/>
      <c r="M9" s="36"/>
      <c r="N9" s="35">
        <v>43773</v>
      </c>
      <c r="O9" s="38"/>
      <c r="P9" s="38"/>
      <c r="Q9" s="176" t="e">
        <f>MONTH([1]!Tableau13[[#This Row],[Date début]])</f>
        <v>#REF!</v>
      </c>
      <c r="R9" s="180" t="e">
        <f>YEAR([1]!Tableau13[[#This Row],[Date début]])</f>
        <v>#REF!</v>
      </c>
      <c r="S9" s="34"/>
      <c r="T9" s="34"/>
    </row>
    <row r="10" spans="1:20" s="25" customFormat="1" ht="15.75" customHeight="1">
      <c r="A10" s="35">
        <v>43773</v>
      </c>
      <c r="B10" s="36">
        <v>480</v>
      </c>
      <c r="C10" s="37" t="str">
        <f>IF(ISNA(VLOOKUP(Tableau13[[#This Row],[Code]],'Code Véhicule'!$A$4:$C$185,2,0)),"",VLOOKUP(Tableau13[[#This Row],[Code]],'Code Véhicule'!$A$4:$C$185,2,0))</f>
        <v>Camion</v>
      </c>
      <c r="D10" s="38" t="str">
        <f>IF(ISNA(VLOOKUP(Tableau13[[#This Row],[Code]],'Code Véhicule'!$A$4:$C$185,3,0)),"",VLOOKUP(Tableau13[[#This Row],[Code]],'Code Véhicule'!$A$4:$C$185,3,0))</f>
        <v>VOLVO</v>
      </c>
      <c r="E10" s="36" t="str">
        <f>IF(ISNA(VLOOKUP(Tableau13[[#This Row],[Code]],'Code Véhicule'!$A$4:$D$185,4,0))," ",VLOOKUP(Tableau13[[#This Row],[Code]],'Code Véhicule'!$A$4:$D$185,4,0))</f>
        <v>22299-A-73</v>
      </c>
      <c r="F10" s="36"/>
      <c r="G10" s="38" t="s">
        <v>398</v>
      </c>
      <c r="H10" s="38" t="s">
        <v>630</v>
      </c>
      <c r="I10" s="36" t="s">
        <v>304</v>
      </c>
      <c r="J10" s="43" t="s">
        <v>303</v>
      </c>
      <c r="K10" s="36"/>
      <c r="L10" s="40"/>
      <c r="M10" s="36"/>
      <c r="N10" s="35">
        <v>43773</v>
      </c>
      <c r="O10" s="38"/>
      <c r="P10" s="38"/>
      <c r="Q10" s="176" t="e">
        <f>MONTH([1]!Tableau13[[#This Row],[Date début]])</f>
        <v>#REF!</v>
      </c>
      <c r="R10" s="180" t="e">
        <f>YEAR([1]!Tableau13[[#This Row],[Date début]])</f>
        <v>#REF!</v>
      </c>
      <c r="S10" s="34"/>
      <c r="T10" s="34"/>
    </row>
    <row r="11" spans="1:20" s="25" customFormat="1" ht="30" customHeight="1">
      <c r="A11" s="35">
        <v>43775</v>
      </c>
      <c r="B11" s="36">
        <v>406</v>
      </c>
      <c r="C11" s="37" t="str">
        <f>IF(ISNA(VLOOKUP(Tableau13[[#This Row],[Code]],'Code Véhicule'!$A$4:$C$185,2,0)),"",VLOOKUP(Tableau13[[#This Row],[Code]],'Code Véhicule'!$A$4:$C$185,2,0))</f>
        <v>Semi remorque</v>
      </c>
      <c r="D11" s="38" t="str">
        <f>IF(ISNA(VLOOKUP(Tableau13[[#This Row],[Code]],'Code Véhicule'!$A$4:$C$185,3,0)),"",VLOOKUP(Tableau13[[#This Row],[Code]],'Code Véhicule'!$A$4:$C$185,3,0))</f>
        <v>VOLVO</v>
      </c>
      <c r="E11" s="36" t="str">
        <f>IF(ISNA(VLOOKUP(Tableau13[[#This Row],[Code]],'Code Véhicule'!$A$4:$D$185,4,0))," ",VLOOKUP(Tableau13[[#This Row],[Code]],'Code Véhicule'!$A$4:$D$185,4,0))</f>
        <v>70352-A-6</v>
      </c>
      <c r="F11" s="36"/>
      <c r="G11" s="38" t="s">
        <v>401</v>
      </c>
      <c r="H11" s="38" t="s">
        <v>632</v>
      </c>
      <c r="I11" s="36" t="s">
        <v>304</v>
      </c>
      <c r="J11" s="43" t="s">
        <v>310</v>
      </c>
      <c r="K11" s="36"/>
      <c r="L11" s="40"/>
      <c r="M11" s="36"/>
      <c r="N11" s="35">
        <v>43775</v>
      </c>
      <c r="O11" s="38"/>
      <c r="P11" s="38"/>
      <c r="Q11" s="176" t="e">
        <f>MONTH([1]!Tableau13[[#This Row],[Date début]])</f>
        <v>#REF!</v>
      </c>
      <c r="R11" s="180" t="e">
        <f>YEAR([1]!Tableau13[[#This Row],[Date début]])</f>
        <v>#REF!</v>
      </c>
      <c r="S11" s="34"/>
      <c r="T11" s="34"/>
    </row>
    <row r="12" spans="1:20" s="25" customFormat="1" ht="30" customHeight="1">
      <c r="A12" s="35">
        <v>43776</v>
      </c>
      <c r="B12" s="36">
        <v>482</v>
      </c>
      <c r="C12" s="37" t="str">
        <f>IF(ISNA(VLOOKUP(Tableau13[[#This Row],[Code]],'Code Véhicule'!$A$4:$C$185,2,0)),"",VLOOKUP(Tableau13[[#This Row],[Code]],'Code Véhicule'!$A$4:$C$185,2,0))</f>
        <v>Pick up</v>
      </c>
      <c r="D12" s="38" t="str">
        <f>IF(ISNA(VLOOKUP(Tableau13[[#This Row],[Code]],'Code Véhicule'!$A$4:$C$185,3,0)),"",VLOOKUP(Tableau13[[#This Row],[Code]],'Code Véhicule'!$A$4:$C$185,3,0))</f>
        <v>HYUNDAI H100</v>
      </c>
      <c r="E12" s="36" t="str">
        <f>IF(ISNA(VLOOKUP(Tableau13[[#This Row],[Code]],'Code Véhicule'!$A$4:$D$185,4,0))," ",VLOOKUP(Tableau13[[#This Row],[Code]],'Code Véhicule'!$A$4:$D$185,4,0))</f>
        <v>22368-A-73</v>
      </c>
      <c r="F12" s="36"/>
      <c r="G12" s="38" t="s">
        <v>386</v>
      </c>
      <c r="H12" s="38" t="s">
        <v>631</v>
      </c>
      <c r="I12" s="36" t="s">
        <v>304</v>
      </c>
      <c r="J12" s="43" t="s">
        <v>305</v>
      </c>
      <c r="K12" s="36"/>
      <c r="L12" s="40"/>
      <c r="M12" s="36"/>
      <c r="N12" s="35">
        <v>43776</v>
      </c>
      <c r="O12" s="38"/>
      <c r="P12" s="38"/>
      <c r="Q12" s="176" t="e">
        <f>MONTH([1]!Tableau13[[#This Row],[Date début]])</f>
        <v>#REF!</v>
      </c>
      <c r="R12" s="180" t="e">
        <f>YEAR([1]!Tableau13[[#This Row],[Date début]])</f>
        <v>#REF!</v>
      </c>
      <c r="S12" s="34"/>
      <c r="T12" s="34"/>
    </row>
    <row r="13" spans="1:20" s="25" customFormat="1" ht="30" customHeight="1">
      <c r="A13" s="35">
        <v>43776</v>
      </c>
      <c r="B13" s="36">
        <v>435</v>
      </c>
      <c r="C13" s="37" t="str">
        <f>IF(ISNA(VLOOKUP(Tableau13[[#This Row],[Code]],'Code Véhicule'!$A$4:$C$185,2,0)),"",VLOOKUP(Tableau13[[#This Row],[Code]],'Code Véhicule'!$A$4:$C$185,2,0))</f>
        <v>Camion</v>
      </c>
      <c r="D13" s="38" t="str">
        <f>IF(ISNA(VLOOKUP(Tableau13[[#This Row],[Code]],'Code Véhicule'!$A$4:$C$185,3,0)),"",VLOOKUP(Tableau13[[#This Row],[Code]],'Code Véhicule'!$A$4:$C$185,3,0))</f>
        <v>Mitsubishi</v>
      </c>
      <c r="E13" s="36" t="str">
        <f>IF(ISNA(VLOOKUP(Tableau13[[#This Row],[Code]],'Code Véhicule'!$A$4:$D$185,4,0))," ",VLOOKUP(Tableau13[[#This Row],[Code]],'Code Véhicule'!$A$4:$D$185,4,0))</f>
        <v xml:space="preserve"> 11469-A-73</v>
      </c>
      <c r="F13" s="36"/>
      <c r="G13" s="38" t="s">
        <v>401</v>
      </c>
      <c r="H13" s="38" t="s">
        <v>608</v>
      </c>
      <c r="I13" s="36" t="s">
        <v>302</v>
      </c>
      <c r="J13" s="43" t="s">
        <v>306</v>
      </c>
      <c r="K13" s="36"/>
      <c r="L13" s="40"/>
      <c r="M13" s="36"/>
      <c r="N13" s="35">
        <v>43776</v>
      </c>
      <c r="O13" s="38"/>
      <c r="P13" s="38"/>
      <c r="Q13" s="176" t="e">
        <f>MONTH([1]!Tableau13[[#This Row],[Date début]])</f>
        <v>#REF!</v>
      </c>
      <c r="R13" s="180" t="e">
        <f>YEAR([1]!Tableau13[[#This Row],[Date début]])</f>
        <v>#REF!</v>
      </c>
      <c r="S13" s="34"/>
      <c r="T13" s="34"/>
    </row>
    <row r="14" spans="1:20" s="25" customFormat="1" ht="15.75" customHeight="1">
      <c r="A14" s="35">
        <v>43776</v>
      </c>
      <c r="B14" s="36">
        <v>410</v>
      </c>
      <c r="C14" s="37" t="str">
        <f>IF(ISNA(VLOOKUP(Tableau13[[#This Row],[Code]],'Code Véhicule'!$A$4:$C$185,2,0)),"",VLOOKUP(Tableau13[[#This Row],[Code]],'Code Véhicule'!$A$4:$C$185,2,0))</f>
        <v>Semi remorque</v>
      </c>
      <c r="D14" s="38" t="str">
        <f>IF(ISNA(VLOOKUP(Tableau13[[#This Row],[Code]],'Code Véhicule'!$A$4:$C$185,3,0)),"",VLOOKUP(Tableau13[[#This Row],[Code]],'Code Véhicule'!$A$4:$C$185,3,0))</f>
        <v>MAN</v>
      </c>
      <c r="E14" s="36" t="str">
        <f>IF(ISNA(VLOOKUP(Tableau13[[#This Row],[Code]],'Code Véhicule'!$A$4:$D$185,4,0))," ",VLOOKUP(Tableau13[[#This Row],[Code]],'Code Véhicule'!$A$4:$D$185,4,0))</f>
        <v xml:space="preserve">28659-D-1 </v>
      </c>
      <c r="F14" s="36"/>
      <c r="G14" s="38" t="s">
        <v>386</v>
      </c>
      <c r="H14" s="38" t="s">
        <v>630</v>
      </c>
      <c r="I14" s="36" t="s">
        <v>304</v>
      </c>
      <c r="J14" s="43" t="s">
        <v>307</v>
      </c>
      <c r="K14" s="36"/>
      <c r="L14" s="40"/>
      <c r="M14" s="36"/>
      <c r="N14" s="35">
        <v>43776</v>
      </c>
      <c r="O14" s="38"/>
      <c r="P14" s="38"/>
      <c r="Q14" s="176" t="e">
        <f>MONTH([1]!Tableau13[[#This Row],[Date début]])</f>
        <v>#REF!</v>
      </c>
      <c r="R14" s="180" t="e">
        <f>YEAR([1]!Tableau13[[#This Row],[Date début]])</f>
        <v>#REF!</v>
      </c>
      <c r="S14" s="34"/>
      <c r="T14" s="34"/>
    </row>
    <row r="15" spans="1:20" s="25" customFormat="1">
      <c r="A15" s="35">
        <v>43776</v>
      </c>
      <c r="B15" s="36">
        <v>479</v>
      </c>
      <c r="C15" s="37" t="str">
        <f>IF(ISNA(VLOOKUP(Tableau13[[#This Row],[Code]],'Code Véhicule'!$A$4:$C$185,2,0)),"",VLOOKUP(Tableau13[[#This Row],[Code]],'Code Véhicule'!$A$4:$C$185,2,0))</f>
        <v>Bus de transport</v>
      </c>
      <c r="D15" s="38" t="str">
        <f>IF(ISNA(VLOOKUP(Tableau13[[#This Row],[Code]],'Code Véhicule'!$A$4:$C$185,3,0)),"",VLOOKUP(Tableau13[[#This Row],[Code]],'Code Véhicule'!$A$4:$C$185,3,0))</f>
        <v>Hyundai County</v>
      </c>
      <c r="E15" s="36" t="str">
        <f>IF(ISNA(VLOOKUP(Tableau13[[#This Row],[Code]],'Code Véhicule'!$A$4:$D$185,4,0))," ",VLOOKUP(Tableau13[[#This Row],[Code]],'Code Véhicule'!$A$4:$D$185,4,0))</f>
        <v>22772-A-73</v>
      </c>
      <c r="F15" s="36"/>
      <c r="G15" s="38" t="s">
        <v>386</v>
      </c>
      <c r="H15" s="38" t="s">
        <v>630</v>
      </c>
      <c r="I15" s="36" t="s">
        <v>304</v>
      </c>
      <c r="J15" s="43" t="s">
        <v>308</v>
      </c>
      <c r="K15" s="36"/>
      <c r="L15" s="40"/>
      <c r="M15" s="36"/>
      <c r="N15" s="35">
        <v>43776</v>
      </c>
      <c r="O15" s="38"/>
      <c r="P15" s="38"/>
      <c r="Q15" s="176" t="e">
        <f>MONTH([1]!Tableau13[[#This Row],[Date début]])</f>
        <v>#REF!</v>
      </c>
      <c r="R15" s="180" t="e">
        <f>YEAR([1]!Tableau13[[#This Row],[Date début]])</f>
        <v>#REF!</v>
      </c>
      <c r="S15" s="34"/>
      <c r="T15" s="34"/>
    </row>
    <row r="16" spans="1:20" s="25" customFormat="1" ht="15.75" customHeight="1">
      <c r="A16" s="35">
        <v>43781</v>
      </c>
      <c r="B16" s="36">
        <v>411</v>
      </c>
      <c r="C16" s="37" t="str">
        <f>IF(ISNA(VLOOKUP(Tableau13[[#This Row],[Code]],'Code Véhicule'!$A$4:$C$185,2,0)),"",VLOOKUP(Tableau13[[#This Row],[Code]],'Code Véhicule'!$A$4:$C$185,2,0))</f>
        <v>Camion</v>
      </c>
      <c r="D16" s="38" t="str">
        <f>IF(ISNA(VLOOKUP(Tableau13[[#This Row],[Code]],'Code Véhicule'!$A$4:$C$185,3,0)),"",VLOOKUP(Tableau13[[#This Row],[Code]],'Code Véhicule'!$A$4:$C$185,3,0))</f>
        <v>Renault</v>
      </c>
      <c r="E16" s="36" t="str">
        <f>IF(ISNA(VLOOKUP(Tableau13[[#This Row],[Code]],'Code Véhicule'!$A$4:$D$185,4,0))," ",VLOOKUP(Tableau13[[#This Row],[Code]],'Code Véhicule'!$A$4:$D$185,4,0))</f>
        <v>25636-A-13</v>
      </c>
      <c r="F16" s="36"/>
      <c r="G16" s="38" t="s">
        <v>398</v>
      </c>
      <c r="H16" s="38" t="s">
        <v>630</v>
      </c>
      <c r="I16" s="36" t="s">
        <v>304</v>
      </c>
      <c r="J16" s="43" t="s">
        <v>303</v>
      </c>
      <c r="K16" s="36"/>
      <c r="L16" s="40"/>
      <c r="M16" s="36"/>
      <c r="N16" s="35">
        <v>43781</v>
      </c>
      <c r="O16" s="38"/>
      <c r="P16" s="38"/>
      <c r="Q16" s="176" t="e">
        <f>MONTH([1]!Tableau13[[#This Row],[Date début]])</f>
        <v>#REF!</v>
      </c>
      <c r="R16" s="180" t="e">
        <f>YEAR([1]!Tableau13[[#This Row],[Date début]])</f>
        <v>#REF!</v>
      </c>
      <c r="S16" s="34"/>
      <c r="T16" s="34"/>
    </row>
    <row r="17" spans="1:20" s="25" customFormat="1" ht="15.75" customHeight="1">
      <c r="A17" s="35">
        <v>43781</v>
      </c>
      <c r="B17" s="36">
        <v>439</v>
      </c>
      <c r="C17" s="37" t="str">
        <f>IF(ISNA(VLOOKUP(Tableau13[[#This Row],[Code]],'Code Véhicule'!$A$4:$C$185,2,0)),"",VLOOKUP(Tableau13[[#This Row],[Code]],'Code Véhicule'!$A$4:$C$185,2,0))</f>
        <v>Semi remorque</v>
      </c>
      <c r="D17" s="38" t="str">
        <f>IF(ISNA(VLOOKUP(Tableau13[[#This Row],[Code]],'Code Véhicule'!$A$4:$C$185,3,0)),"",VLOOKUP(Tableau13[[#This Row],[Code]],'Code Véhicule'!$A$4:$C$185,3,0))</f>
        <v>VOLVO</v>
      </c>
      <c r="E17" s="36" t="str">
        <f>IF(ISNA(VLOOKUP(Tableau13[[#This Row],[Code]],'Code Véhicule'!$A$4:$D$185,4,0))," ",VLOOKUP(Tableau13[[#This Row],[Code]],'Code Véhicule'!$A$4:$D$185,4,0))</f>
        <v xml:space="preserve">17886-A-73 </v>
      </c>
      <c r="F17" s="36"/>
      <c r="G17" s="38" t="s">
        <v>389</v>
      </c>
      <c r="H17" s="38" t="s">
        <v>622</v>
      </c>
      <c r="I17" s="36" t="s">
        <v>304</v>
      </c>
      <c r="J17" s="43" t="s">
        <v>311</v>
      </c>
      <c r="K17" s="36"/>
      <c r="L17" s="40"/>
      <c r="M17" s="36"/>
      <c r="N17" s="35">
        <v>43781</v>
      </c>
      <c r="O17" s="38"/>
      <c r="P17" s="38"/>
      <c r="Q17" s="176" t="e">
        <f>MONTH([1]!Tableau13[[#This Row],[Date début]])</f>
        <v>#REF!</v>
      </c>
      <c r="R17" s="180" t="e">
        <f>YEAR([1]!Tableau13[[#This Row],[Date début]])</f>
        <v>#REF!</v>
      </c>
      <c r="S17" s="34"/>
      <c r="T17" s="34"/>
    </row>
    <row r="18" spans="1:20" s="25" customFormat="1" ht="15.75" customHeight="1">
      <c r="A18" s="35">
        <v>43781</v>
      </c>
      <c r="B18" s="36">
        <v>410</v>
      </c>
      <c r="C18" s="37" t="str">
        <f>IF(ISNA(VLOOKUP(Tableau13[[#This Row],[Code]],'Code Véhicule'!$A$4:$C$185,2,0)),"",VLOOKUP(Tableau13[[#This Row],[Code]],'Code Véhicule'!$A$4:$C$185,2,0))</f>
        <v>Semi remorque</v>
      </c>
      <c r="D18" s="38" t="str">
        <f>IF(ISNA(VLOOKUP(Tableau13[[#This Row],[Code]],'Code Véhicule'!$A$4:$C$185,3,0)),"",VLOOKUP(Tableau13[[#This Row],[Code]],'Code Véhicule'!$A$4:$C$185,3,0))</f>
        <v>MAN</v>
      </c>
      <c r="E18" s="36" t="str">
        <f>IF(ISNA(VLOOKUP(Tableau13[[#This Row],[Code]],'Code Véhicule'!$A$4:$D$185,4,0))," ",VLOOKUP(Tableau13[[#This Row],[Code]],'Code Véhicule'!$A$4:$D$185,4,0))</f>
        <v xml:space="preserve">28659-D-1 </v>
      </c>
      <c r="F18" s="36"/>
      <c r="G18" s="38" t="s">
        <v>389</v>
      </c>
      <c r="H18" s="38" t="s">
        <v>622</v>
      </c>
      <c r="I18" s="36" t="s">
        <v>304</v>
      </c>
      <c r="J18" s="43" t="s">
        <v>311</v>
      </c>
      <c r="K18" s="36"/>
      <c r="L18" s="40"/>
      <c r="M18" s="36"/>
      <c r="N18" s="35">
        <v>43781</v>
      </c>
      <c r="O18" s="38"/>
      <c r="P18" s="38"/>
      <c r="Q18" s="176" t="e">
        <f>MONTH([1]!Tableau13[[#This Row],[Date début]])</f>
        <v>#REF!</v>
      </c>
      <c r="R18" s="180" t="e">
        <f>YEAR([1]!Tableau13[[#This Row],[Date début]])</f>
        <v>#REF!</v>
      </c>
      <c r="S18" s="34"/>
      <c r="T18" s="34"/>
    </row>
    <row r="19" spans="1:20" s="25" customFormat="1" ht="15.75" customHeight="1">
      <c r="A19" s="35">
        <v>43781</v>
      </c>
      <c r="B19" s="36">
        <v>438</v>
      </c>
      <c r="C19" s="37" t="str">
        <f>IF(ISNA(VLOOKUP(Tableau13[[#This Row],[Code]],'Code Véhicule'!$A$4:$C$185,2,0)),"",VLOOKUP(Tableau13[[#This Row],[Code]],'Code Véhicule'!$A$4:$C$185,2,0))</f>
        <v>Semi remorque</v>
      </c>
      <c r="D19" s="38" t="str">
        <f>IF(ISNA(VLOOKUP(Tableau13[[#This Row],[Code]],'Code Véhicule'!$A$4:$C$185,3,0)),"",VLOOKUP(Tableau13[[#This Row],[Code]],'Code Véhicule'!$A$4:$C$185,3,0))</f>
        <v>VOLVO</v>
      </c>
      <c r="E19" s="36" t="str">
        <f>IF(ISNA(VLOOKUP(Tableau13[[#This Row],[Code]],'Code Véhicule'!$A$4:$D$185,4,0))," ",VLOOKUP(Tableau13[[#This Row],[Code]],'Code Véhicule'!$A$4:$D$185,4,0))</f>
        <v xml:space="preserve">17885-A-73 </v>
      </c>
      <c r="F19" s="36"/>
      <c r="G19" s="38" t="s">
        <v>389</v>
      </c>
      <c r="H19" s="38" t="s">
        <v>622</v>
      </c>
      <c r="I19" s="36" t="s">
        <v>304</v>
      </c>
      <c r="J19" s="43" t="s">
        <v>311</v>
      </c>
      <c r="K19" s="36"/>
      <c r="L19" s="40"/>
      <c r="M19" s="36"/>
      <c r="N19" s="35">
        <v>43781</v>
      </c>
      <c r="O19" s="38"/>
      <c r="P19" s="38"/>
      <c r="Q19" s="176" t="e">
        <f>MONTH([1]!Tableau13[[#This Row],[Date début]])</f>
        <v>#REF!</v>
      </c>
      <c r="R19" s="180" t="e">
        <f>YEAR([1]!Tableau13[[#This Row],[Date début]])</f>
        <v>#REF!</v>
      </c>
      <c r="S19" s="34"/>
      <c r="T19" s="34"/>
    </row>
    <row r="20" spans="1:20" s="25" customFormat="1" ht="15.75" customHeight="1">
      <c r="A20" s="35">
        <v>43782</v>
      </c>
      <c r="B20" s="36">
        <v>408</v>
      </c>
      <c r="C20" s="37" t="str">
        <f>IF(ISNA(VLOOKUP(Tableau13[[#This Row],[Code]],'Code Véhicule'!$A$4:$C$185,2,0)),"",VLOOKUP(Tableau13[[#This Row],[Code]],'Code Véhicule'!$A$4:$C$185,2,0))</f>
        <v>Camion</v>
      </c>
      <c r="D20" s="38" t="str">
        <f>IF(ISNA(VLOOKUP(Tableau13[[#This Row],[Code]],'Code Véhicule'!$A$4:$C$185,3,0)),"",VLOOKUP(Tableau13[[#This Row],[Code]],'Code Véhicule'!$A$4:$C$185,3,0))</f>
        <v>Mitsubishi</v>
      </c>
      <c r="E20" s="36" t="str">
        <f>IF(ISNA(VLOOKUP(Tableau13[[#This Row],[Code]],'Code Véhicule'!$A$4:$D$185,4,0))," ",VLOOKUP(Tableau13[[#This Row],[Code]],'Code Véhicule'!$A$4:$D$185,4,0))</f>
        <v>4703-A-73</v>
      </c>
      <c r="F20" s="36"/>
      <c r="G20" s="38" t="s">
        <v>395</v>
      </c>
      <c r="H20" s="38" t="s">
        <v>608</v>
      </c>
      <c r="I20" s="36" t="s">
        <v>304</v>
      </c>
      <c r="J20" s="43" t="s">
        <v>312</v>
      </c>
      <c r="K20" s="36"/>
      <c r="L20" s="40"/>
      <c r="M20" s="36"/>
      <c r="N20" s="35">
        <v>43782</v>
      </c>
      <c r="O20" s="38"/>
      <c r="P20" s="38"/>
      <c r="Q20" s="176" t="e">
        <f>MONTH([1]!Tableau13[[#This Row],[Date début]])</f>
        <v>#REF!</v>
      </c>
      <c r="R20" s="180" t="e">
        <f>YEAR([1]!Tableau13[[#This Row],[Date début]])</f>
        <v>#REF!</v>
      </c>
      <c r="S20" s="34"/>
      <c r="T20" s="34"/>
    </row>
    <row r="21" spans="1:20" s="25" customFormat="1" ht="30" customHeight="1">
      <c r="A21" s="35">
        <v>43783</v>
      </c>
      <c r="B21" s="36">
        <v>411</v>
      </c>
      <c r="C21" s="37" t="str">
        <f>IF(ISNA(VLOOKUP(Tableau13[[#This Row],[Code]],'Code Véhicule'!$A$4:$C$185,2,0)),"",VLOOKUP(Tableau13[[#This Row],[Code]],'Code Véhicule'!$A$4:$C$185,2,0))</f>
        <v>Camion</v>
      </c>
      <c r="D21" s="38" t="str">
        <f>IF(ISNA(VLOOKUP(Tableau13[[#This Row],[Code]],'Code Véhicule'!$A$4:$C$185,3,0)),"",VLOOKUP(Tableau13[[#This Row],[Code]],'Code Véhicule'!$A$4:$C$185,3,0))</f>
        <v>Renault</v>
      </c>
      <c r="E21" s="36" t="str">
        <f>IF(ISNA(VLOOKUP(Tableau13[[#This Row],[Code]],'Code Véhicule'!$A$4:$D$185,4,0))," ",VLOOKUP(Tableau13[[#This Row],[Code]],'Code Véhicule'!$A$4:$D$185,4,0))</f>
        <v>25636-A-13</v>
      </c>
      <c r="F21" s="36"/>
      <c r="G21" s="38" t="s">
        <v>394</v>
      </c>
      <c r="H21" s="38" t="s">
        <v>633</v>
      </c>
      <c r="I21" s="36" t="s">
        <v>304</v>
      </c>
      <c r="J21" s="43" t="s">
        <v>314</v>
      </c>
      <c r="K21" s="36"/>
      <c r="L21" s="40"/>
      <c r="M21" s="36"/>
      <c r="N21" s="35">
        <v>43783</v>
      </c>
      <c r="O21" s="38"/>
      <c r="P21" s="38"/>
      <c r="Q21" s="176" t="e">
        <f>MONTH([1]!Tableau13[[#This Row],[Date début]])</f>
        <v>#REF!</v>
      </c>
      <c r="R21" s="180" t="e">
        <f>YEAR([1]!Tableau13[[#This Row],[Date début]])</f>
        <v>#REF!</v>
      </c>
      <c r="S21" s="34"/>
      <c r="T21" s="34"/>
    </row>
    <row r="22" spans="1:20" s="25" customFormat="1" ht="75" customHeight="1">
      <c r="A22" s="35">
        <v>43784</v>
      </c>
      <c r="B22" s="36">
        <v>414</v>
      </c>
      <c r="C22" s="37" t="str">
        <f>IF(ISNA(VLOOKUP(Tableau13[[#This Row],[Code]],'Code Véhicule'!$A$4:$C$185,2,0)),"",VLOOKUP(Tableau13[[#This Row],[Code]],'Code Véhicule'!$A$4:$C$185,2,0))</f>
        <v>Balayeuse</v>
      </c>
      <c r="D22" s="38" t="str">
        <f>IF(ISNA(VLOOKUP(Tableau13[[#This Row],[Code]],'Code Véhicule'!$A$4:$C$185,3,0)),"",VLOOKUP(Tableau13[[#This Row],[Code]],'Code Véhicule'!$A$4:$C$185,3,0))</f>
        <v>Bobcat</v>
      </c>
      <c r="E22" s="36" t="str">
        <f>IF(ISNA(VLOOKUP(Tableau13[[#This Row],[Code]],'Code Véhicule'!$A$4:$D$185,4,0))," ",VLOOKUP(Tableau13[[#This Row],[Code]],'Code Véhicule'!$A$4:$D$185,4,0))</f>
        <v>-</v>
      </c>
      <c r="F22" s="36"/>
      <c r="G22" s="38" t="s">
        <v>400</v>
      </c>
      <c r="H22" s="38"/>
      <c r="I22" s="36" t="s">
        <v>304</v>
      </c>
      <c r="J22" s="43" t="s">
        <v>346</v>
      </c>
      <c r="K22" s="36"/>
      <c r="L22" s="40"/>
      <c r="M22" s="36" t="str">
        <f>IF(ISBLANK(Tableau13[[#This Row],[N BS]]),"",(Tableau13[[#This Row],[N BS]]-Tableau13[[#This Row],[Date début]]))</f>
        <v/>
      </c>
      <c r="N22" s="35">
        <v>43784</v>
      </c>
      <c r="O22" s="38"/>
      <c r="P22" s="38"/>
      <c r="Q22" s="176" t="e">
        <f>MONTH([1]!Tableau13[[#This Row],[Date début]])</f>
        <v>#REF!</v>
      </c>
      <c r="R22" s="180" t="e">
        <f>YEAR([1]!Tableau13[[#This Row],[Date début]])</f>
        <v>#REF!</v>
      </c>
      <c r="S22" s="34"/>
      <c r="T22" s="34"/>
    </row>
    <row r="23" spans="1:20" s="25" customFormat="1" ht="15.75" customHeight="1">
      <c r="A23" s="35">
        <v>43785</v>
      </c>
      <c r="B23" s="36">
        <v>406</v>
      </c>
      <c r="C23" s="37" t="str">
        <f>IF(ISNA(VLOOKUP(Tableau13[[#This Row],[Code]],'Code Véhicule'!$A$4:$C$185,2,0)),"",VLOOKUP(Tableau13[[#This Row],[Code]],'Code Véhicule'!$A$4:$C$185,2,0))</f>
        <v>Semi remorque</v>
      </c>
      <c r="D23" s="38" t="str">
        <f>IF(ISNA(VLOOKUP(Tableau13[[#This Row],[Code]],'Code Véhicule'!$A$4:$C$185,3,0)),"",VLOOKUP(Tableau13[[#This Row],[Code]],'Code Véhicule'!$A$4:$C$185,3,0))</f>
        <v>VOLVO</v>
      </c>
      <c r="E23" s="36" t="str">
        <f>IF(ISNA(VLOOKUP(Tableau13[[#This Row],[Code]],'Code Véhicule'!$A$4:$D$185,4,0))," ",VLOOKUP(Tableau13[[#This Row],[Code]],'Code Véhicule'!$A$4:$D$185,4,0))</f>
        <v>70352-A-6</v>
      </c>
      <c r="F23" s="36"/>
      <c r="G23" s="38" t="s">
        <v>389</v>
      </c>
      <c r="H23" s="38" t="s">
        <v>634</v>
      </c>
      <c r="I23" s="36" t="s">
        <v>304</v>
      </c>
      <c r="J23" s="43" t="s">
        <v>316</v>
      </c>
      <c r="K23" s="36"/>
      <c r="L23" s="40"/>
      <c r="M23" s="36"/>
      <c r="N23" s="35">
        <v>43785</v>
      </c>
      <c r="O23" s="38"/>
      <c r="P23" s="38"/>
      <c r="Q23" s="176" t="e">
        <f>MONTH([1]!Tableau13[[#This Row],[Date début]])</f>
        <v>#REF!</v>
      </c>
      <c r="R23" s="180" t="e">
        <f>YEAR([1]!Tableau13[[#This Row],[Date début]])</f>
        <v>#REF!</v>
      </c>
      <c r="S23" s="34"/>
      <c r="T23" s="34"/>
    </row>
    <row r="24" spans="1:20" s="25" customFormat="1" ht="45" customHeight="1">
      <c r="A24" s="35">
        <v>43785</v>
      </c>
      <c r="B24" s="36">
        <v>410</v>
      </c>
      <c r="C24" s="37" t="str">
        <f>IF(ISNA(VLOOKUP(Tableau13[[#This Row],[Code]],'Code Véhicule'!$A$4:$C$185,2,0)),"",VLOOKUP(Tableau13[[#This Row],[Code]],'Code Véhicule'!$A$4:$C$185,2,0))</f>
        <v>Semi remorque</v>
      </c>
      <c r="D24" s="38" t="str">
        <f>IF(ISNA(VLOOKUP(Tableau13[[#This Row],[Code]],'Code Véhicule'!$A$4:$C$185,3,0)),"",VLOOKUP(Tableau13[[#This Row],[Code]],'Code Véhicule'!$A$4:$C$185,3,0))</f>
        <v>MAN</v>
      </c>
      <c r="E24" s="36" t="str">
        <f>IF(ISNA(VLOOKUP(Tableau13[[#This Row],[Code]],'Code Véhicule'!$A$4:$D$185,4,0))," ",VLOOKUP(Tableau13[[#This Row],[Code]],'Code Véhicule'!$A$4:$D$185,4,0))</f>
        <v xml:space="preserve">28659-D-1 </v>
      </c>
      <c r="F24" s="36"/>
      <c r="G24" s="38" t="s">
        <v>401</v>
      </c>
      <c r="H24" s="38" t="s">
        <v>634</v>
      </c>
      <c r="I24" s="36" t="s">
        <v>304</v>
      </c>
      <c r="J24" s="43" t="s">
        <v>317</v>
      </c>
      <c r="K24" s="36"/>
      <c r="L24" s="40"/>
      <c r="M24" s="36"/>
      <c r="N24" s="35">
        <v>43785</v>
      </c>
      <c r="O24" s="38"/>
      <c r="P24" s="38"/>
      <c r="Q24" s="176" t="e">
        <f>MONTH([1]!Tableau13[[#This Row],[Date début]])</f>
        <v>#REF!</v>
      </c>
      <c r="R24" s="180" t="e">
        <f>YEAR([1]!Tableau13[[#This Row],[Date début]])</f>
        <v>#REF!</v>
      </c>
      <c r="S24" s="34"/>
      <c r="T24" s="34"/>
    </row>
    <row r="25" spans="1:20" s="25" customFormat="1" ht="75" customHeight="1">
      <c r="A25" s="35">
        <v>43785</v>
      </c>
      <c r="B25" s="36">
        <v>411</v>
      </c>
      <c r="C25" s="37" t="str">
        <f>IF(ISNA(VLOOKUP(Tableau13[[#This Row],[Code]],'Code Véhicule'!$A$4:$C$185,2,0)),"",VLOOKUP(Tableau13[[#This Row],[Code]],'Code Véhicule'!$A$4:$C$185,2,0))</f>
        <v>Camion</v>
      </c>
      <c r="D25" s="38" t="str">
        <f>IF(ISNA(VLOOKUP(Tableau13[[#This Row],[Code]],'Code Véhicule'!$A$4:$C$185,3,0)),"",VLOOKUP(Tableau13[[#This Row],[Code]],'Code Véhicule'!$A$4:$C$185,3,0))</f>
        <v>Renault</v>
      </c>
      <c r="E25" s="36" t="str">
        <f>IF(ISNA(VLOOKUP(Tableau13[[#This Row],[Code]],'Code Véhicule'!$A$4:$D$185,4,0))," ",VLOOKUP(Tableau13[[#This Row],[Code]],'Code Véhicule'!$A$4:$D$185,4,0))</f>
        <v>25636-A-13</v>
      </c>
      <c r="F25" s="36"/>
      <c r="G25" s="38" t="s">
        <v>394</v>
      </c>
      <c r="H25" s="38"/>
      <c r="I25" s="36" t="s">
        <v>304</v>
      </c>
      <c r="J25" s="43" t="s">
        <v>325</v>
      </c>
      <c r="K25" s="36">
        <v>43792</v>
      </c>
      <c r="L25" s="40"/>
      <c r="M25" s="36"/>
      <c r="N25" s="35">
        <v>43785</v>
      </c>
      <c r="O25" s="38"/>
      <c r="P25" s="38"/>
      <c r="Q25" s="176" t="e">
        <f>MONTH([1]!Tableau13[[#This Row],[Date début]])</f>
        <v>#REF!</v>
      </c>
      <c r="R25" s="180" t="e">
        <f>YEAR([1]!Tableau13[[#This Row],[Date début]])</f>
        <v>#REF!</v>
      </c>
      <c r="S25" s="34"/>
      <c r="T25" s="34"/>
    </row>
    <row r="26" spans="1:20" s="25" customFormat="1" ht="15.75" customHeight="1">
      <c r="A26" s="35">
        <v>43788</v>
      </c>
      <c r="B26" s="36">
        <v>429</v>
      </c>
      <c r="C26" s="37" t="str">
        <f>IF(ISNA(VLOOKUP(Tableau13[[#This Row],[Code]],'Code Véhicule'!$A$4:$C$185,2,0)),"",VLOOKUP(Tableau13[[#This Row],[Code]],'Code Véhicule'!$A$4:$C$185,2,0))</f>
        <v>Chariot elevateur</v>
      </c>
      <c r="D26" s="38" t="str">
        <f>IF(ISNA(VLOOKUP(Tableau13[[#This Row],[Code]],'Code Véhicule'!$A$4:$C$185,3,0)),"",VLOOKUP(Tableau13[[#This Row],[Code]],'Code Véhicule'!$A$4:$C$185,3,0))</f>
        <v>Fenwick HD30</v>
      </c>
      <c r="E26" s="36" t="str">
        <f>IF(ISNA(VLOOKUP(Tableau13[[#This Row],[Code]],'Code Véhicule'!$A$4:$D$185,4,0))," ",VLOOKUP(Tableau13[[#This Row],[Code]],'Code Véhicule'!$A$4:$D$185,4,0))</f>
        <v>-</v>
      </c>
      <c r="F26" s="36"/>
      <c r="G26" s="38" t="s">
        <v>393</v>
      </c>
      <c r="H26" s="38" t="s">
        <v>608</v>
      </c>
      <c r="I26" s="36" t="s">
        <v>302</v>
      </c>
      <c r="J26" s="43" t="s">
        <v>342</v>
      </c>
      <c r="K26" s="36"/>
      <c r="L26" s="40"/>
      <c r="M26" s="36" t="str">
        <f>IF(ISBLANK(Tableau13[[#This Row],[N BS]]),"",(Tableau13[[#This Row],[N BS]]-Tableau13[[#This Row],[Date début]]))</f>
        <v/>
      </c>
      <c r="N26" s="35">
        <v>43788</v>
      </c>
      <c r="O26" s="38"/>
      <c r="P26" s="38"/>
      <c r="Q26" s="176" t="e">
        <f>MONTH([1]!Tableau13[[#This Row],[Date début]])</f>
        <v>#REF!</v>
      </c>
      <c r="R26" s="180" t="e">
        <f>YEAR([1]!Tableau13[[#This Row],[Date début]])</f>
        <v>#REF!</v>
      </c>
      <c r="S26" s="34"/>
      <c r="T26" s="34"/>
    </row>
    <row r="27" spans="1:20" s="25" customFormat="1" ht="15.75" customHeight="1">
      <c r="A27" s="35">
        <v>43789</v>
      </c>
      <c r="B27" s="36">
        <v>436</v>
      </c>
      <c r="C27" s="37" t="str">
        <f>IF(ISNA(VLOOKUP(Tableau13[[#This Row],[Code]],'Code Véhicule'!$A$4:$C$185,2,0)),"",VLOOKUP(Tableau13[[#This Row],[Code]],'Code Véhicule'!$A$4:$C$185,2,0))</f>
        <v>Camion</v>
      </c>
      <c r="D27" s="38" t="str">
        <f>IF(ISNA(VLOOKUP(Tableau13[[#This Row],[Code]],'Code Véhicule'!$A$4:$C$185,3,0)),"",VLOOKUP(Tableau13[[#This Row],[Code]],'Code Véhicule'!$A$4:$C$185,3,0))</f>
        <v>Mitsubishi</v>
      </c>
      <c r="E27" s="36" t="str">
        <f>IF(ISNA(VLOOKUP(Tableau13[[#This Row],[Code]],'Code Véhicule'!$A$4:$D$185,4,0))," ",VLOOKUP(Tableau13[[#This Row],[Code]],'Code Véhicule'!$A$4:$D$185,4,0))</f>
        <v>11470-A-73</v>
      </c>
      <c r="F27" s="36"/>
      <c r="G27" s="38" t="s">
        <v>392</v>
      </c>
      <c r="H27" s="38" t="s">
        <v>327</v>
      </c>
      <c r="I27" s="36" t="s">
        <v>304</v>
      </c>
      <c r="J27" s="43" t="s">
        <v>318</v>
      </c>
      <c r="K27" s="36"/>
      <c r="L27" s="40"/>
      <c r="M27" s="36"/>
      <c r="N27" s="35">
        <v>43789</v>
      </c>
      <c r="O27" s="38"/>
      <c r="P27" s="38"/>
      <c r="Q27" s="176" t="e">
        <f>MONTH([1]!Tableau13[[#This Row],[Date début]])</f>
        <v>#REF!</v>
      </c>
      <c r="R27" s="180" t="e">
        <f>YEAR([1]!Tableau13[[#This Row],[Date début]])</f>
        <v>#REF!</v>
      </c>
      <c r="S27" s="34"/>
      <c r="T27" s="34"/>
    </row>
    <row r="28" spans="1:20" s="25" customFormat="1">
      <c r="A28" s="35">
        <v>43790</v>
      </c>
      <c r="B28" s="36">
        <v>471</v>
      </c>
      <c r="C28" s="37" t="str">
        <f>IF(ISNA(VLOOKUP(Tableau13[[#This Row],[Code]],'Code Véhicule'!$A$4:$C$185,2,0)),"",VLOOKUP(Tableau13[[#This Row],[Code]],'Code Véhicule'!$A$4:$C$185,2,0))</f>
        <v>Bus de transport</v>
      </c>
      <c r="D28" s="38" t="str">
        <f>IF(ISNA(VLOOKUP(Tableau13[[#This Row],[Code]],'Code Véhicule'!$A$4:$C$185,3,0)),"",VLOOKUP(Tableau13[[#This Row],[Code]],'Code Véhicule'!$A$4:$C$185,3,0))</f>
        <v xml:space="preserve">Hyundai County </v>
      </c>
      <c r="E28" s="36" t="str">
        <f>IF(ISNA(VLOOKUP(Tableau13[[#This Row],[Code]],'Code Véhicule'!$A$4:$D$185,4,0))," ",VLOOKUP(Tableau13[[#This Row],[Code]],'Code Véhicule'!$A$4:$D$185,4,0))</f>
        <v>18516-A-73</v>
      </c>
      <c r="F28" s="36"/>
      <c r="G28" s="38" t="s">
        <v>389</v>
      </c>
      <c r="H28" s="38" t="s">
        <v>622</v>
      </c>
      <c r="I28" s="36" t="s">
        <v>304</v>
      </c>
      <c r="J28" s="43" t="s">
        <v>319</v>
      </c>
      <c r="K28" s="36"/>
      <c r="L28" s="40"/>
      <c r="M28" s="36"/>
      <c r="N28" s="35">
        <v>43790</v>
      </c>
      <c r="O28" s="38"/>
      <c r="P28" s="38"/>
      <c r="Q28" s="176" t="e">
        <f>MONTH([1]!Tableau13[[#This Row],[Date début]])</f>
        <v>#REF!</v>
      </c>
      <c r="R28" s="180" t="e">
        <f>YEAR([1]!Tableau13[[#This Row],[Date début]])</f>
        <v>#REF!</v>
      </c>
      <c r="S28" s="34"/>
      <c r="T28" s="34"/>
    </row>
    <row r="29" spans="1:20" s="25" customFormat="1" ht="15.75" customHeight="1">
      <c r="A29" s="35">
        <v>43791</v>
      </c>
      <c r="B29" s="36">
        <v>439</v>
      </c>
      <c r="C29" s="37" t="str">
        <f>IF(ISNA(VLOOKUP(Tableau13[[#This Row],[Code]],'Code Véhicule'!$A$4:$C$185,2,0)),"",VLOOKUP(Tableau13[[#This Row],[Code]],'Code Véhicule'!$A$4:$C$185,2,0))</f>
        <v>Semi remorque</v>
      </c>
      <c r="D29" s="38" t="str">
        <f>IF(ISNA(VLOOKUP(Tableau13[[#This Row],[Code]],'Code Véhicule'!$A$4:$C$185,3,0)),"",VLOOKUP(Tableau13[[#This Row],[Code]],'Code Véhicule'!$A$4:$C$185,3,0))</f>
        <v>VOLVO</v>
      </c>
      <c r="E29" s="36" t="str">
        <f>IF(ISNA(VLOOKUP(Tableau13[[#This Row],[Code]],'Code Véhicule'!$A$4:$D$185,4,0))," ",VLOOKUP(Tableau13[[#This Row],[Code]],'Code Véhicule'!$A$4:$D$185,4,0))</f>
        <v xml:space="preserve">17886-A-73 </v>
      </c>
      <c r="F29" s="36"/>
      <c r="G29" s="38" t="s">
        <v>401</v>
      </c>
      <c r="H29" s="38" t="s">
        <v>633</v>
      </c>
      <c r="I29" s="36" t="s">
        <v>304</v>
      </c>
      <c r="J29" s="43" t="s">
        <v>320</v>
      </c>
      <c r="K29" s="36"/>
      <c r="L29" s="40"/>
      <c r="M29" s="36"/>
      <c r="N29" s="35">
        <v>43791</v>
      </c>
      <c r="O29" s="38"/>
      <c r="P29" s="38"/>
      <c r="Q29" s="176" t="e">
        <f>MONTH([1]!Tableau13[[#This Row],[Date début]])</f>
        <v>#REF!</v>
      </c>
      <c r="R29" s="180" t="e">
        <f>YEAR([1]!Tableau13[[#This Row],[Date début]])</f>
        <v>#REF!</v>
      </c>
      <c r="S29" s="34"/>
      <c r="T29" s="34"/>
    </row>
    <row r="30" spans="1:20" s="25" customFormat="1" ht="60" customHeight="1">
      <c r="A30" s="35">
        <v>43791</v>
      </c>
      <c r="B30" s="36">
        <v>409</v>
      </c>
      <c r="C30" s="37" t="str">
        <f>IF(ISNA(VLOOKUP(Tableau13[[#This Row],[Code]],'Code Véhicule'!$A$4:$C$185,2,0)),"",VLOOKUP(Tableau13[[#This Row],[Code]],'Code Véhicule'!$A$4:$C$185,2,0))</f>
        <v>Camion</v>
      </c>
      <c r="D30" s="38" t="str">
        <f>IF(ISNA(VLOOKUP(Tableau13[[#This Row],[Code]],'Code Véhicule'!$A$4:$C$185,3,0)),"",VLOOKUP(Tableau13[[#This Row],[Code]],'Code Véhicule'!$A$4:$C$185,3,0))</f>
        <v>Mitsubishi</v>
      </c>
      <c r="E30" s="36" t="str">
        <f>IF(ISNA(VLOOKUP(Tableau13[[#This Row],[Code]],'Code Véhicule'!$A$4:$D$185,4,0))," ",VLOOKUP(Tableau13[[#This Row],[Code]],'Code Véhicule'!$A$4:$D$185,4,0))</f>
        <v xml:space="preserve">4969-A-73 </v>
      </c>
      <c r="F30" s="36"/>
      <c r="G30" s="38" t="s">
        <v>401</v>
      </c>
      <c r="H30" s="38" t="s">
        <v>608</v>
      </c>
      <c r="I30" s="36" t="s">
        <v>302</v>
      </c>
      <c r="J30" s="43" t="s">
        <v>321</v>
      </c>
      <c r="K30" s="36"/>
      <c r="L30" s="40"/>
      <c r="M30" s="36"/>
      <c r="N30" s="35">
        <v>43791</v>
      </c>
      <c r="O30" s="38"/>
      <c r="P30" s="38"/>
      <c r="Q30" s="176" t="e">
        <f>MONTH([1]!Tableau13[[#This Row],[Date début]])</f>
        <v>#REF!</v>
      </c>
      <c r="R30" s="180" t="e">
        <f>YEAR([1]!Tableau13[[#This Row],[Date début]])</f>
        <v>#REF!</v>
      </c>
      <c r="S30" s="34"/>
      <c r="T30" s="34"/>
    </row>
    <row r="31" spans="1:20" s="25" customFormat="1" ht="30" customHeight="1">
      <c r="A31" s="35">
        <v>43791</v>
      </c>
      <c r="B31" s="36">
        <v>413</v>
      </c>
      <c r="C31" s="37" t="str">
        <f>IF(ISNA(VLOOKUP(Tableau13[[#This Row],[Code]],'Code Véhicule'!$A$4:$C$185,2,0)),"",VLOOKUP(Tableau13[[#This Row],[Code]],'Code Véhicule'!$A$4:$C$185,2,0))</f>
        <v>Chargeur</v>
      </c>
      <c r="D31" s="38" t="str">
        <f>IF(ISNA(VLOOKUP(Tableau13[[#This Row],[Code]],'Code Véhicule'!$A$4:$C$185,3,0)),"",VLOOKUP(Tableau13[[#This Row],[Code]],'Code Véhicule'!$A$4:$C$185,3,0))</f>
        <v>Caterpillar</v>
      </c>
      <c r="E31" s="36" t="str">
        <f>IF(ISNA(VLOOKUP(Tableau13[[#This Row],[Code]],'Code Véhicule'!$A$4:$D$185,4,0))," ",VLOOKUP(Tableau13[[#This Row],[Code]],'Code Véhicule'!$A$4:$D$185,4,0))</f>
        <v>-</v>
      </c>
      <c r="F31" s="36"/>
      <c r="G31" s="38" t="s">
        <v>389</v>
      </c>
      <c r="H31" s="38" t="s">
        <v>633</v>
      </c>
      <c r="I31" s="36" t="s">
        <v>304</v>
      </c>
      <c r="J31" s="43" t="s">
        <v>343</v>
      </c>
      <c r="K31" s="36"/>
      <c r="L31" s="40"/>
      <c r="M31" s="36" t="str">
        <f>IF(ISBLANK(Tableau13[[#This Row],[N BS]]),"",(Tableau13[[#This Row],[N BS]]-Tableau13[[#This Row],[Date début]]))</f>
        <v/>
      </c>
      <c r="N31" s="35">
        <v>43791</v>
      </c>
      <c r="O31" s="38"/>
      <c r="P31" s="38"/>
      <c r="Q31" s="176" t="e">
        <f>MONTH([1]!Tableau13[[#This Row],[Date début]])</f>
        <v>#REF!</v>
      </c>
      <c r="R31" s="180" t="e">
        <f>YEAR([1]!Tableau13[[#This Row],[Date début]])</f>
        <v>#REF!</v>
      </c>
      <c r="S31" s="34"/>
      <c r="T31" s="34"/>
    </row>
    <row r="32" spans="1:20" s="25" customFormat="1" ht="30" customHeight="1">
      <c r="A32" s="35">
        <v>43791</v>
      </c>
      <c r="B32" s="36">
        <v>435</v>
      </c>
      <c r="C32" s="37" t="str">
        <f>IF(ISNA(VLOOKUP(Tableau13[[#This Row],[Code]],'Code Véhicule'!$A$4:$C$185,2,0)),"",VLOOKUP(Tableau13[[#This Row],[Code]],'Code Véhicule'!$A$4:$C$185,2,0))</f>
        <v>Camion</v>
      </c>
      <c r="D32" s="38" t="str">
        <f>IF(ISNA(VLOOKUP(Tableau13[[#This Row],[Code]],'Code Véhicule'!$A$4:$C$185,3,0)),"",VLOOKUP(Tableau13[[#This Row],[Code]],'Code Véhicule'!$A$4:$C$185,3,0))</f>
        <v>Mitsubishi</v>
      </c>
      <c r="E32" s="36" t="str">
        <f>IF(ISNA(VLOOKUP(Tableau13[[#This Row],[Code]],'Code Véhicule'!$A$4:$D$185,4,0))," ",VLOOKUP(Tableau13[[#This Row],[Code]],'Code Véhicule'!$A$4:$D$185,4,0))</f>
        <v xml:space="preserve"> 11469-A-73</v>
      </c>
      <c r="F32" s="36"/>
      <c r="G32" s="38" t="s">
        <v>1534</v>
      </c>
      <c r="H32" s="38"/>
      <c r="I32" s="36" t="s">
        <v>304</v>
      </c>
      <c r="J32" s="43" t="s">
        <v>326</v>
      </c>
      <c r="K32" s="36">
        <v>43792</v>
      </c>
      <c r="L32" s="40"/>
      <c r="M32" s="36"/>
      <c r="N32" s="35">
        <v>43791</v>
      </c>
      <c r="O32" s="38"/>
      <c r="P32" s="38"/>
      <c r="Q32" s="176" t="e">
        <f>MONTH([1]!Tableau13[[#This Row],[Date début]])</f>
        <v>#REF!</v>
      </c>
      <c r="R32" s="180" t="e">
        <f>YEAR([1]!Tableau13[[#This Row],[Date début]])</f>
        <v>#REF!</v>
      </c>
      <c r="S32" s="34"/>
      <c r="T32" s="34"/>
    </row>
    <row r="33" spans="1:20" s="25" customFormat="1" ht="15.75" customHeight="1">
      <c r="A33" s="35">
        <v>43793</v>
      </c>
      <c r="B33" s="36">
        <v>429</v>
      </c>
      <c r="C33" s="37" t="str">
        <f>IF(ISNA(VLOOKUP(Tableau13[[#This Row],[Code]],'Code Véhicule'!$A$4:$C$185,2,0)),"",VLOOKUP(Tableau13[[#This Row],[Code]],'Code Véhicule'!$A$4:$C$185,2,0))</f>
        <v>Chariot elevateur</v>
      </c>
      <c r="D33" s="38" t="str">
        <f>IF(ISNA(VLOOKUP(Tableau13[[#This Row],[Code]],'Code Véhicule'!$A$4:$C$185,3,0)),"",VLOOKUP(Tableau13[[#This Row],[Code]],'Code Véhicule'!$A$4:$C$185,3,0))</f>
        <v>Fenwick HD30</v>
      </c>
      <c r="E33" s="36" t="str">
        <f>IF(ISNA(VLOOKUP(Tableau13[[#This Row],[Code]],'Code Véhicule'!$A$4:$D$185,4,0))," ",VLOOKUP(Tableau13[[#This Row],[Code]],'Code Véhicule'!$A$4:$D$185,4,0))</f>
        <v>-</v>
      </c>
      <c r="F33" s="36"/>
      <c r="G33" s="38" t="s">
        <v>402</v>
      </c>
      <c r="H33" s="38" t="s">
        <v>633</v>
      </c>
      <c r="I33" s="36" t="s">
        <v>304</v>
      </c>
      <c r="J33" s="43" t="s">
        <v>345</v>
      </c>
      <c r="K33" s="36"/>
      <c r="L33" s="40"/>
      <c r="M33" s="36" t="str">
        <f>IF(ISBLANK(Tableau13[[#This Row],[N BS]]),"",(Tableau13[[#This Row],[N BS]]-Tableau13[[#This Row],[Date début]]))</f>
        <v/>
      </c>
      <c r="N33" s="35">
        <v>43793</v>
      </c>
      <c r="O33" s="38"/>
      <c r="P33" s="38"/>
      <c r="Q33" s="176" t="e">
        <f>MONTH([1]!Tableau13[[#This Row],[Date début]])</f>
        <v>#REF!</v>
      </c>
      <c r="R33" s="180" t="e">
        <f>YEAR([1]!Tableau13[[#This Row],[Date début]])</f>
        <v>#REF!</v>
      </c>
      <c r="S33" s="34"/>
      <c r="T33" s="34"/>
    </row>
    <row r="34" spans="1:20" s="25" customFormat="1" ht="15.75" customHeight="1">
      <c r="A34" s="35">
        <v>43794</v>
      </c>
      <c r="B34" s="36">
        <v>403</v>
      </c>
      <c r="C34" s="37" t="str">
        <f>IF(ISNA(VLOOKUP(Tableau13[[#This Row],[Code]],'Code Véhicule'!$A$4:$C$185,2,0)),"",VLOOKUP(Tableau13[[#This Row],[Code]],'Code Véhicule'!$A$4:$C$185,2,0))</f>
        <v>Camion</v>
      </c>
      <c r="D34" s="38" t="str">
        <f>IF(ISNA(VLOOKUP(Tableau13[[#This Row],[Code]],'Code Véhicule'!$A$4:$C$185,3,0)),"",VLOOKUP(Tableau13[[#This Row],[Code]],'Code Véhicule'!$A$4:$C$185,3,0))</f>
        <v>MAN</v>
      </c>
      <c r="E34" s="36" t="str">
        <f>IF(ISNA(VLOOKUP(Tableau13[[#This Row],[Code]],'Code Véhicule'!$A$4:$D$185,4,0))," ",VLOOKUP(Tableau13[[#This Row],[Code]],'Code Véhicule'!$A$4:$D$185,4,0))</f>
        <v>4790-B-8</v>
      </c>
      <c r="F34" s="36"/>
      <c r="G34" s="38" t="s">
        <v>386</v>
      </c>
      <c r="H34" s="38"/>
      <c r="I34" s="36" t="s">
        <v>322</v>
      </c>
      <c r="J34" s="43" t="s">
        <v>323</v>
      </c>
      <c r="K34" s="36"/>
      <c r="L34" s="40"/>
      <c r="M34" s="36"/>
      <c r="N34" s="35">
        <v>43794</v>
      </c>
      <c r="O34" s="38"/>
      <c r="P34" s="38"/>
      <c r="Q34" s="176" t="e">
        <f>MONTH([1]!Tableau13[[#This Row],[Date début]])</f>
        <v>#REF!</v>
      </c>
      <c r="R34" s="180" t="e">
        <f>YEAR([1]!Tableau13[[#This Row],[Date début]])</f>
        <v>#REF!</v>
      </c>
      <c r="S34" s="34"/>
      <c r="T34" s="34"/>
    </row>
    <row r="35" spans="1:20" s="25" customFormat="1" ht="45" customHeight="1">
      <c r="A35" s="35">
        <v>43795</v>
      </c>
      <c r="B35" s="36">
        <v>410</v>
      </c>
      <c r="C35" s="37" t="str">
        <f>IF(ISNA(VLOOKUP(Tableau13[[#This Row],[Code]],'Code Véhicule'!$A$4:$C$185,2,0)),"",VLOOKUP(Tableau13[[#This Row],[Code]],'Code Véhicule'!$A$4:$C$185,2,0))</f>
        <v>Semi remorque</v>
      </c>
      <c r="D35" s="38" t="str">
        <f>IF(ISNA(VLOOKUP(Tableau13[[#This Row],[Code]],'Code Véhicule'!$A$4:$C$185,3,0)),"",VLOOKUP(Tableau13[[#This Row],[Code]],'Code Véhicule'!$A$4:$C$185,3,0))</f>
        <v>MAN</v>
      </c>
      <c r="E35" s="36" t="str">
        <f>IF(ISNA(VLOOKUP(Tableau13[[#This Row],[Code]],'Code Véhicule'!$A$4:$D$185,4,0))," ",VLOOKUP(Tableau13[[#This Row],[Code]],'Code Véhicule'!$A$4:$D$185,4,0))</f>
        <v xml:space="preserve">28659-D-1 </v>
      </c>
      <c r="F35" s="36"/>
      <c r="G35" s="38" t="s">
        <v>397</v>
      </c>
      <c r="H35" s="38"/>
      <c r="I35" s="36" t="s">
        <v>304</v>
      </c>
      <c r="J35" s="43" t="s">
        <v>324</v>
      </c>
      <c r="K35" s="36"/>
      <c r="L35" s="40"/>
      <c r="M35" s="36"/>
      <c r="N35" s="35">
        <v>43795</v>
      </c>
      <c r="O35" s="38"/>
      <c r="P35" s="38"/>
      <c r="Q35" s="176" t="e">
        <f>MONTH([1]!Tableau13[[#This Row],[Date début]])</f>
        <v>#REF!</v>
      </c>
      <c r="R35" s="180" t="e">
        <f>YEAR([1]!Tableau13[[#This Row],[Date début]])</f>
        <v>#REF!</v>
      </c>
      <c r="S35" s="34"/>
      <c r="T35" s="34"/>
    </row>
    <row r="36" spans="1:20" s="25" customFormat="1" ht="30" customHeight="1">
      <c r="A36" s="35">
        <v>43795</v>
      </c>
      <c r="B36" s="36">
        <v>435</v>
      </c>
      <c r="C36" s="37" t="str">
        <f>IF(ISNA(VLOOKUP(Tableau13[[#This Row],[Code]],'Code Véhicule'!$A$4:$C$185,2,0)),"",VLOOKUP(Tableau13[[#This Row],[Code]],'Code Véhicule'!$A$4:$C$185,2,0))</f>
        <v>Camion</v>
      </c>
      <c r="D36" s="38" t="str">
        <f>IF(ISNA(VLOOKUP(Tableau13[[#This Row],[Code]],'Code Véhicule'!$A$4:$C$185,3,0)),"",VLOOKUP(Tableau13[[#This Row],[Code]],'Code Véhicule'!$A$4:$C$185,3,0))</f>
        <v>Mitsubishi</v>
      </c>
      <c r="E36" s="36" t="str">
        <f>IF(ISNA(VLOOKUP(Tableau13[[#This Row],[Code]],'Code Véhicule'!$A$4:$D$185,4,0))," ",VLOOKUP(Tableau13[[#This Row],[Code]],'Code Véhicule'!$A$4:$D$185,4,0))</f>
        <v xml:space="preserve"> 11469-A-73</v>
      </c>
      <c r="F36" s="36"/>
      <c r="G36" s="38" t="s">
        <v>398</v>
      </c>
      <c r="H36" s="38"/>
      <c r="I36" s="36" t="s">
        <v>304</v>
      </c>
      <c r="J36" s="43"/>
      <c r="K36" s="36"/>
      <c r="L36" s="40"/>
      <c r="M36" s="36"/>
      <c r="N36" s="35">
        <v>43795</v>
      </c>
      <c r="O36" s="38"/>
      <c r="P36" s="38"/>
      <c r="Q36" s="176" t="e">
        <f>MONTH([1]!Tableau13[[#This Row],[Date début]])</f>
        <v>#REF!</v>
      </c>
      <c r="R36" s="180" t="e">
        <f>YEAR([1]!Tableau13[[#This Row],[Date début]])</f>
        <v>#REF!</v>
      </c>
      <c r="S36" s="34"/>
      <c r="T36" s="34"/>
    </row>
    <row r="37" spans="1:20" s="25" customFormat="1" ht="30" customHeight="1">
      <c r="A37" s="35">
        <v>43797</v>
      </c>
      <c r="B37" s="36">
        <v>428</v>
      </c>
      <c r="C37" s="37" t="str">
        <f>IF(ISNA(VLOOKUP(Tableau13[[#This Row],[Code]],'Code Véhicule'!$A$4:$C$185,2,0)),"",VLOOKUP(Tableau13[[#This Row],[Code]],'Code Véhicule'!$A$4:$C$185,2,0))</f>
        <v>Chariot elevateur</v>
      </c>
      <c r="D37" s="38" t="str">
        <f>IF(ISNA(VLOOKUP(Tableau13[[#This Row],[Code]],'Code Véhicule'!$A$4:$C$185,3,0)),"",VLOOKUP(Tableau13[[#This Row],[Code]],'Code Véhicule'!$A$4:$C$185,3,0))</f>
        <v>Linde H30</v>
      </c>
      <c r="E37" s="36" t="str">
        <f>IF(ISNA(VLOOKUP(Tableau13[[#This Row],[Code]],'Code Véhicule'!$A$4:$D$185,4,0))," ",VLOOKUP(Tableau13[[#This Row],[Code]],'Code Véhicule'!$A$4:$D$185,4,0))</f>
        <v>-</v>
      </c>
      <c r="F37" s="36"/>
      <c r="G37" s="38" t="s">
        <v>393</v>
      </c>
      <c r="H37" s="38" t="s">
        <v>608</v>
      </c>
      <c r="I37" s="36" t="s">
        <v>302</v>
      </c>
      <c r="J37" s="43" t="s">
        <v>344</v>
      </c>
      <c r="K37" s="36"/>
      <c r="L37" s="40"/>
      <c r="M37" s="36" t="str">
        <f>IF(ISBLANK(Tableau13[[#This Row],[N BS]]),"",(Tableau13[[#This Row],[N BS]]-Tableau13[[#This Row],[Date début]]))</f>
        <v/>
      </c>
      <c r="N37" s="35">
        <v>43797</v>
      </c>
      <c r="O37" s="38"/>
      <c r="P37" s="38"/>
      <c r="Q37" s="176" t="e">
        <f>MONTH([1]!Tableau13[[#This Row],[Date début]])</f>
        <v>#REF!</v>
      </c>
      <c r="R37" s="180" t="e">
        <f>YEAR([1]!Tableau13[[#This Row],[Date début]])</f>
        <v>#REF!</v>
      </c>
      <c r="S37" s="34"/>
      <c r="T37" s="34"/>
    </row>
    <row r="38" spans="1:20" s="25" customFormat="1" ht="30" customHeight="1">
      <c r="A38" s="35">
        <v>43797</v>
      </c>
      <c r="B38" s="36">
        <v>426</v>
      </c>
      <c r="C38" s="37" t="str">
        <f>IF(ISNA(VLOOKUP(Tableau13[[#This Row],[Code]],'Code Véhicule'!$A$4:$C$185,2,0)),"",VLOOKUP(Tableau13[[#This Row],[Code]],'Code Véhicule'!$A$4:$C$185,2,0))</f>
        <v>Chariot elevateur</v>
      </c>
      <c r="D38" s="38" t="str">
        <f>IF(ISNA(VLOOKUP(Tableau13[[#This Row],[Code]],'Code Véhicule'!$A$4:$C$185,3,0)),"",VLOOKUP(Tableau13[[#This Row],[Code]],'Code Véhicule'!$A$4:$C$185,3,0))</f>
        <v>Manitou MC 30</v>
      </c>
      <c r="E38" s="36" t="str">
        <f>IF(ISNA(VLOOKUP(Tableau13[[#This Row],[Code]],'Code Véhicule'!$A$4:$D$185,4,0))," ",VLOOKUP(Tableau13[[#This Row],[Code]],'Code Véhicule'!$A$4:$D$185,4,0))</f>
        <v>-</v>
      </c>
      <c r="F38" s="36"/>
      <c r="G38" s="38" t="s">
        <v>389</v>
      </c>
      <c r="H38" s="38"/>
      <c r="I38" s="36" t="s">
        <v>304</v>
      </c>
      <c r="J38" s="43" t="s">
        <v>368</v>
      </c>
      <c r="K38" s="36"/>
      <c r="L38" s="40"/>
      <c r="M38" s="36" t="str">
        <f>IF(ISBLANK(Tableau13[[#This Row],[N BS]]),"",(Tableau13[[#This Row],[N BS]]-Tableau13[[#This Row],[Date début]]))</f>
        <v/>
      </c>
      <c r="N38" s="35">
        <v>43797</v>
      </c>
      <c r="O38" s="38"/>
      <c r="P38" s="38"/>
      <c r="Q38" s="176" t="e">
        <f>MONTH([1]!Tableau13[[#This Row],[Date début]])</f>
        <v>#REF!</v>
      </c>
      <c r="R38" s="180" t="e">
        <f>YEAR([1]!Tableau13[[#This Row],[Date début]])</f>
        <v>#REF!</v>
      </c>
      <c r="S38" s="34"/>
      <c r="T38" s="34"/>
    </row>
    <row r="39" spans="1:20" s="25" customFormat="1" ht="15.75" customHeight="1">
      <c r="A39" s="35">
        <v>43797</v>
      </c>
      <c r="B39" s="36">
        <v>407</v>
      </c>
      <c r="C39" s="37" t="str">
        <f>IF(ISNA(VLOOKUP(Tableau13[[#This Row],[Code]],'Code Véhicule'!$A$4:$C$185,2,0)),"",VLOOKUP(Tableau13[[#This Row],[Code]],'Code Véhicule'!$A$4:$C$185,2,0))</f>
        <v>Semi remorque</v>
      </c>
      <c r="D39" s="38" t="str">
        <f>IF(ISNA(VLOOKUP(Tableau13[[#This Row],[Code]],'Code Véhicule'!$A$4:$C$185,3,0)),"",VLOOKUP(Tableau13[[#This Row],[Code]],'Code Véhicule'!$A$4:$C$185,3,0))</f>
        <v>MAN</v>
      </c>
      <c r="E39" s="36" t="str">
        <f>IF(ISNA(VLOOKUP(Tableau13[[#This Row],[Code]],'Code Véhicule'!$A$4:$D$185,4,0))," ",VLOOKUP(Tableau13[[#This Row],[Code]],'Code Véhicule'!$A$4:$D$185,4,0))</f>
        <v>706-A-73</v>
      </c>
      <c r="F39" s="36"/>
      <c r="G39" s="38" t="s">
        <v>327</v>
      </c>
      <c r="H39" s="38"/>
      <c r="I39" s="36" t="s">
        <v>304</v>
      </c>
      <c r="J39" s="43" t="s">
        <v>328</v>
      </c>
      <c r="K39" s="36">
        <v>43797</v>
      </c>
      <c r="L39" s="40"/>
      <c r="M39" s="36"/>
      <c r="N39" s="35">
        <v>43797</v>
      </c>
      <c r="O39" s="38"/>
      <c r="P39" s="38"/>
      <c r="Q39" s="176" t="e">
        <f>MONTH([1]!Tableau13[[#This Row],[Date début]])</f>
        <v>#REF!</v>
      </c>
      <c r="R39" s="180" t="e">
        <f>YEAR([1]!Tableau13[[#This Row],[Date début]])</f>
        <v>#REF!</v>
      </c>
      <c r="S39" s="34"/>
      <c r="T39" s="34"/>
    </row>
    <row r="40" spans="1:20" s="25" customFormat="1" ht="30" customHeight="1">
      <c r="A40" s="35">
        <v>43797</v>
      </c>
      <c r="B40" s="36">
        <v>433</v>
      </c>
      <c r="C40" s="37" t="str">
        <f>IF(ISNA(VLOOKUP(Tableau13[[#This Row],[Code]],'Code Véhicule'!$A$4:$C$185,2,0)),"",VLOOKUP(Tableau13[[#This Row],[Code]],'Code Véhicule'!$A$4:$C$185,2,0))</f>
        <v>Voiture de fonction</v>
      </c>
      <c r="D40" s="38" t="str">
        <f>IF(ISNA(VLOOKUP(Tableau13[[#This Row],[Code]],'Code Véhicule'!$A$4:$C$185,3,0)),"",VLOOKUP(Tableau13[[#This Row],[Code]],'Code Véhicule'!$A$4:$C$185,3,0))</f>
        <v>Berlingo</v>
      </c>
      <c r="E40" s="36" t="str">
        <f>IF(ISNA(VLOOKUP(Tableau13[[#This Row],[Code]],'Code Véhicule'!$A$4:$D$185,4,0))," ",VLOOKUP(Tableau13[[#This Row],[Code]],'Code Véhicule'!$A$4:$D$185,4,0))</f>
        <v>10551-A-73</v>
      </c>
      <c r="F40" s="36"/>
      <c r="G40" s="38" t="s">
        <v>401</v>
      </c>
      <c r="H40" s="38"/>
      <c r="I40" s="36" t="s">
        <v>302</v>
      </c>
      <c r="J40" s="43" t="s">
        <v>329</v>
      </c>
      <c r="K40" s="36">
        <v>43797</v>
      </c>
      <c r="L40" s="40"/>
      <c r="M40" s="36"/>
      <c r="N40" s="35">
        <v>43797</v>
      </c>
      <c r="O40" s="38"/>
      <c r="P40" s="38"/>
      <c r="Q40" s="176" t="e">
        <f>MONTH([1]!Tableau13[[#This Row],[Date début]])</f>
        <v>#REF!</v>
      </c>
      <c r="R40" s="180" t="e">
        <f>YEAR([1]!Tableau13[[#This Row],[Date début]])</f>
        <v>#REF!</v>
      </c>
      <c r="S40" s="34"/>
      <c r="T40" s="34"/>
    </row>
    <row r="41" spans="1:20" s="25" customFormat="1" ht="15.75" customHeight="1">
      <c r="A41" s="35">
        <v>43799</v>
      </c>
      <c r="B41" s="36">
        <v>436</v>
      </c>
      <c r="C41" s="37" t="str">
        <f>IF(ISNA(VLOOKUP(Tableau13[[#This Row],[Code]],'Code Véhicule'!$A$4:$C$185,2,0)),"",VLOOKUP(Tableau13[[#This Row],[Code]],'Code Véhicule'!$A$4:$C$185,2,0))</f>
        <v>Camion</v>
      </c>
      <c r="D41" s="38" t="str">
        <f>IF(ISNA(VLOOKUP(Tableau13[[#This Row],[Code]],'Code Véhicule'!$A$4:$C$185,3,0)),"",VLOOKUP(Tableau13[[#This Row],[Code]],'Code Véhicule'!$A$4:$C$185,3,0))</f>
        <v>Mitsubishi</v>
      </c>
      <c r="E41" s="36" t="str">
        <f>IF(ISNA(VLOOKUP(Tableau13[[#This Row],[Code]],'Code Véhicule'!$A$4:$D$185,4,0))," ",VLOOKUP(Tableau13[[#This Row],[Code]],'Code Véhicule'!$A$4:$D$185,4,0))</f>
        <v>11470-A-73</v>
      </c>
      <c r="F41" s="36"/>
      <c r="G41" s="38" t="s">
        <v>389</v>
      </c>
      <c r="H41" s="38"/>
      <c r="I41" s="36" t="s">
        <v>304</v>
      </c>
      <c r="J41" s="43" t="s">
        <v>311</v>
      </c>
      <c r="K41" s="36">
        <v>43799</v>
      </c>
      <c r="L41" s="40"/>
      <c r="M41" s="36"/>
      <c r="N41" s="35">
        <v>43799</v>
      </c>
      <c r="O41" s="38"/>
      <c r="P41" s="38"/>
      <c r="Q41" s="176" t="e">
        <f>MONTH([1]!Tableau13[[#This Row],[Date début]])</f>
        <v>#REF!</v>
      </c>
      <c r="R41" s="180" t="e">
        <f>YEAR([1]!Tableau13[[#This Row],[Date début]])</f>
        <v>#REF!</v>
      </c>
      <c r="S41" s="34"/>
      <c r="T41" s="34"/>
    </row>
    <row r="42" spans="1:20" s="25" customFormat="1" ht="15.75" customHeight="1">
      <c r="A42" s="35">
        <v>43799</v>
      </c>
      <c r="B42" s="36">
        <v>405</v>
      </c>
      <c r="C42" s="37" t="str">
        <f>IF(ISNA(VLOOKUP(Tableau13[[#This Row],[Code]],'Code Véhicule'!$A$4:$C$185,2,0)),"",VLOOKUP(Tableau13[[#This Row],[Code]],'Code Véhicule'!$A$4:$C$185,2,0))</f>
        <v>Camion</v>
      </c>
      <c r="D42" s="38" t="str">
        <f>IF(ISNA(VLOOKUP(Tableau13[[#This Row],[Code]],'Code Véhicule'!$A$4:$C$185,3,0)),"",VLOOKUP(Tableau13[[#This Row],[Code]],'Code Véhicule'!$A$4:$C$185,3,0))</f>
        <v>ISUZU</v>
      </c>
      <c r="E42" s="36" t="str">
        <f>IF(ISNA(VLOOKUP(Tableau13[[#This Row],[Code]],'Code Véhicule'!$A$4:$D$185,4,0))," ",VLOOKUP(Tableau13[[#This Row],[Code]],'Code Véhicule'!$A$4:$D$185,4,0))</f>
        <v xml:space="preserve"> 22128-W-6</v>
      </c>
      <c r="F42" s="36"/>
      <c r="G42" s="38" t="s">
        <v>401</v>
      </c>
      <c r="H42" s="38"/>
      <c r="I42" s="36" t="s">
        <v>304</v>
      </c>
      <c r="J42" s="43" t="s">
        <v>330</v>
      </c>
      <c r="K42" s="36">
        <v>43799</v>
      </c>
      <c r="L42" s="40"/>
      <c r="M42" s="36"/>
      <c r="N42" s="35">
        <v>43799</v>
      </c>
      <c r="O42" s="38"/>
      <c r="P42" s="38"/>
      <c r="Q42" s="176" t="e">
        <f>MONTH([1]!Tableau13[[#This Row],[Date début]])</f>
        <v>#REF!</v>
      </c>
      <c r="R42" s="180" t="e">
        <f>YEAR([1]!Tableau13[[#This Row],[Date début]])</f>
        <v>#REF!</v>
      </c>
      <c r="S42" s="34"/>
      <c r="T42" s="34"/>
    </row>
    <row r="43" spans="1:20" s="25" customFormat="1" ht="45" customHeight="1">
      <c r="A43" s="35">
        <v>43799</v>
      </c>
      <c r="B43" s="36">
        <v>403</v>
      </c>
      <c r="C43" s="37" t="str">
        <f>IF(ISNA(VLOOKUP(Tableau13[[#This Row],[Code]],'Code Véhicule'!$A$4:$C$185,2,0)),"",VLOOKUP(Tableau13[[#This Row],[Code]],'Code Véhicule'!$A$4:$C$185,2,0))</f>
        <v>Camion</v>
      </c>
      <c r="D43" s="38" t="str">
        <f>IF(ISNA(VLOOKUP(Tableau13[[#This Row],[Code]],'Code Véhicule'!$A$4:$C$185,3,0)),"",VLOOKUP(Tableau13[[#This Row],[Code]],'Code Véhicule'!$A$4:$C$185,3,0))</f>
        <v>MAN</v>
      </c>
      <c r="E43" s="36" t="str">
        <f>IF(ISNA(VLOOKUP(Tableau13[[#This Row],[Code]],'Code Véhicule'!$A$4:$D$185,4,0))," ",VLOOKUP(Tableau13[[#This Row],[Code]],'Code Véhicule'!$A$4:$D$185,4,0))</f>
        <v>4790-B-8</v>
      </c>
      <c r="F43" s="36"/>
      <c r="G43" s="38" t="s">
        <v>397</v>
      </c>
      <c r="H43" s="38"/>
      <c r="I43" s="36" t="s">
        <v>304</v>
      </c>
      <c r="J43" s="43" t="s">
        <v>331</v>
      </c>
      <c r="K43" s="36">
        <v>43801</v>
      </c>
      <c r="L43" s="40"/>
      <c r="M43" s="36"/>
      <c r="N43" s="35">
        <v>43799</v>
      </c>
      <c r="O43" s="38"/>
      <c r="P43" s="38"/>
      <c r="Q43" s="176" t="e">
        <f>MONTH([1]!Tableau13[[#This Row],[Date début]])</f>
        <v>#REF!</v>
      </c>
      <c r="R43" s="180" t="e">
        <f>YEAR([1]!Tableau13[[#This Row],[Date début]])</f>
        <v>#REF!</v>
      </c>
      <c r="S43" s="34"/>
      <c r="T43" s="34"/>
    </row>
    <row r="44" spans="1:20" s="25" customFormat="1" ht="75" customHeight="1">
      <c r="A44" s="35">
        <v>43799</v>
      </c>
      <c r="B44" s="36">
        <v>436</v>
      </c>
      <c r="C44" s="37" t="str">
        <f>IF(ISNA(VLOOKUP(Tableau13[[#This Row],[Code]],'Code Véhicule'!$A$4:$C$185,2,0)),"",VLOOKUP(Tableau13[[#This Row],[Code]],'Code Véhicule'!$A$4:$C$185,2,0))</f>
        <v>Camion</v>
      </c>
      <c r="D44" s="38" t="str">
        <f>IF(ISNA(VLOOKUP(Tableau13[[#This Row],[Code]],'Code Véhicule'!$A$4:$C$185,3,0)),"",VLOOKUP(Tableau13[[#This Row],[Code]],'Code Véhicule'!$A$4:$C$185,3,0))</f>
        <v>Mitsubishi</v>
      </c>
      <c r="E44" s="36" t="str">
        <f>IF(ISNA(VLOOKUP(Tableau13[[#This Row],[Code]],'Code Véhicule'!$A$4:$D$185,4,0))," ",VLOOKUP(Tableau13[[#This Row],[Code]],'Code Véhicule'!$A$4:$D$185,4,0))</f>
        <v>11470-A-73</v>
      </c>
      <c r="F44" s="36"/>
      <c r="G44" s="38" t="s">
        <v>399</v>
      </c>
      <c r="H44" s="38"/>
      <c r="I44" s="36" t="s">
        <v>304</v>
      </c>
      <c r="J44" s="43" t="s">
        <v>336</v>
      </c>
      <c r="K44" s="36">
        <v>43805</v>
      </c>
      <c r="L44" s="40"/>
      <c r="M44" s="36"/>
      <c r="N44" s="35">
        <v>43799</v>
      </c>
      <c r="O44" s="38"/>
      <c r="P44" s="38"/>
      <c r="Q44" s="176" t="e">
        <f>MONTH([1]!Tableau13[[#This Row],[Date début]])</f>
        <v>#REF!</v>
      </c>
      <c r="R44" s="180" t="e">
        <f>YEAR([1]!Tableau13[[#This Row],[Date début]])</f>
        <v>#REF!</v>
      </c>
      <c r="S44" s="34"/>
      <c r="T44" s="34"/>
    </row>
    <row r="45" spans="1:20" s="25" customFormat="1" ht="90" customHeight="1">
      <c r="A45" s="35">
        <v>43799</v>
      </c>
      <c r="B45" s="36">
        <v>431</v>
      </c>
      <c r="C45" s="37" t="str">
        <f>IF(ISNA(VLOOKUP(Tableau13[[#This Row],[Code]],'Code Véhicule'!$A$4:$C$185,2,0)),"",VLOOKUP(Tableau13[[#This Row],[Code]],'Code Véhicule'!$A$4:$C$185,2,0))</f>
        <v>Chariot elevateur</v>
      </c>
      <c r="D45" s="38" t="str">
        <f>IF(ISNA(VLOOKUP(Tableau13[[#This Row],[Code]],'Code Véhicule'!$A$4:$C$185,3,0)),"",VLOOKUP(Tableau13[[#This Row],[Code]],'Code Véhicule'!$A$4:$C$185,3,0))</f>
        <v>Manitou M26-2</v>
      </c>
      <c r="E45" s="36" t="str">
        <f>IF(ISNA(VLOOKUP(Tableau13[[#This Row],[Code]],'Code Véhicule'!$A$4:$D$185,4,0))," ",VLOOKUP(Tableau13[[#This Row],[Code]],'Code Véhicule'!$A$4:$D$185,4,0))</f>
        <v>-</v>
      </c>
      <c r="F45" s="36">
        <v>22184</v>
      </c>
      <c r="G45" s="38" t="s">
        <v>400</v>
      </c>
      <c r="H45" s="38"/>
      <c r="I45" s="36" t="s">
        <v>304</v>
      </c>
      <c r="J45" s="43" t="s">
        <v>374</v>
      </c>
      <c r="K45" s="36"/>
      <c r="L45" s="40"/>
      <c r="M45" s="36"/>
      <c r="N45" s="35">
        <v>43799</v>
      </c>
      <c r="O45" s="38"/>
      <c r="P45" s="38"/>
      <c r="Q45" s="176" t="e">
        <f>MONTH([1]!Tableau13[[#This Row],[Date début]])</f>
        <v>#REF!</v>
      </c>
      <c r="R45" s="180" t="e">
        <f>YEAR([1]!Tableau13[[#This Row],[Date début]])</f>
        <v>#REF!</v>
      </c>
      <c r="S45" s="34"/>
      <c r="T45" s="34"/>
    </row>
    <row r="46" spans="1:20" s="25" customFormat="1" ht="15.75" customHeight="1">
      <c r="A46" s="35">
        <v>43801</v>
      </c>
      <c r="B46" s="36">
        <v>439</v>
      </c>
      <c r="C46" s="37" t="str">
        <f>IF(ISNA(VLOOKUP(Tableau13[[#This Row],[Code]],'Code Véhicule'!$A$4:$C$185,2,0)),"",VLOOKUP(Tableau13[[#This Row],[Code]],'Code Véhicule'!$A$4:$C$185,2,0))</f>
        <v>Semi remorque</v>
      </c>
      <c r="D46" s="38" t="str">
        <f>IF(ISNA(VLOOKUP(Tableau13[[#This Row],[Code]],'Code Véhicule'!$A$4:$C$185,3,0)),"",VLOOKUP(Tableau13[[#This Row],[Code]],'Code Véhicule'!$A$4:$C$185,3,0))</f>
        <v>VOLVO</v>
      </c>
      <c r="E46" s="36" t="str">
        <f>IF(ISNA(VLOOKUP(Tableau13[[#This Row],[Code]],'Code Véhicule'!$A$4:$D$185,4,0))," ",VLOOKUP(Tableau13[[#This Row],[Code]],'Code Véhicule'!$A$4:$D$185,4,0))</f>
        <v xml:space="preserve">17886-A-73 </v>
      </c>
      <c r="F46" s="36"/>
      <c r="G46" s="38" t="s">
        <v>389</v>
      </c>
      <c r="H46" s="38"/>
      <c r="I46" s="36" t="s">
        <v>304</v>
      </c>
      <c r="J46" s="43" t="s">
        <v>311</v>
      </c>
      <c r="K46" s="36">
        <v>43801</v>
      </c>
      <c r="L46" s="40"/>
      <c r="M46" s="36"/>
      <c r="N46" s="35">
        <v>43801</v>
      </c>
      <c r="O46" s="38"/>
      <c r="P46" s="38"/>
      <c r="Q46" s="176" t="e">
        <f>MONTH([1]!Tableau13[[#This Row],[Date début]])</f>
        <v>#REF!</v>
      </c>
      <c r="R46" s="180" t="e">
        <f>YEAR([1]!Tableau13[[#This Row],[Date début]])</f>
        <v>#REF!</v>
      </c>
      <c r="S46" s="34"/>
      <c r="T46" s="34"/>
    </row>
    <row r="47" spans="1:20" s="25" customFormat="1" ht="30" customHeight="1">
      <c r="A47" s="35">
        <v>43802</v>
      </c>
      <c r="B47" s="36">
        <v>429</v>
      </c>
      <c r="C47" s="37" t="str">
        <f>IF(ISNA(VLOOKUP(Tableau13[[#This Row],[Code]],'Code Véhicule'!$A$4:$C$185,2,0)),"",VLOOKUP(Tableau13[[#This Row],[Code]],'Code Véhicule'!$A$4:$C$185,2,0))</f>
        <v>Chariot elevateur</v>
      </c>
      <c r="D47" s="38" t="str">
        <f>IF(ISNA(VLOOKUP(Tableau13[[#This Row],[Code]],'Code Véhicule'!$A$4:$C$185,3,0)),"",VLOOKUP(Tableau13[[#This Row],[Code]],'Code Véhicule'!$A$4:$C$185,3,0))</f>
        <v>Fenwick HD30</v>
      </c>
      <c r="E47" s="36" t="str">
        <f>IF(ISNA(VLOOKUP(Tableau13[[#This Row],[Code]],'Code Véhicule'!$A$4:$D$185,4,0))," ",VLOOKUP(Tableau13[[#This Row],[Code]],'Code Véhicule'!$A$4:$D$185,4,0))</f>
        <v>-</v>
      </c>
      <c r="F47" s="36"/>
      <c r="G47" s="38" t="s">
        <v>393</v>
      </c>
      <c r="H47" s="38"/>
      <c r="I47" s="36" t="s">
        <v>302</v>
      </c>
      <c r="J47" s="43" t="s">
        <v>363</v>
      </c>
      <c r="K47" s="36"/>
      <c r="L47" s="40"/>
      <c r="M47" s="36"/>
      <c r="N47" s="35">
        <v>43802</v>
      </c>
      <c r="O47" s="38"/>
      <c r="P47" s="38"/>
      <c r="Q47" s="176" t="e">
        <f>MONTH([1]!Tableau13[[#This Row],[Date début]])</f>
        <v>#REF!</v>
      </c>
      <c r="R47" s="180" t="e">
        <f>YEAR([1]!Tableau13[[#This Row],[Date début]])</f>
        <v>#REF!</v>
      </c>
      <c r="S47" s="34"/>
      <c r="T47" s="34"/>
    </row>
    <row r="48" spans="1:20" s="25" customFormat="1" ht="30" customHeight="1">
      <c r="A48" s="35">
        <v>43803</v>
      </c>
      <c r="B48" s="36">
        <v>482</v>
      </c>
      <c r="C48" s="37" t="str">
        <f>IF(ISNA(VLOOKUP(Tableau13[[#This Row],[Code]],'Code Véhicule'!$A$4:$C$185,2,0)),"",VLOOKUP(Tableau13[[#This Row],[Code]],'Code Véhicule'!$A$4:$C$185,2,0))</f>
        <v>Pick up</v>
      </c>
      <c r="D48" s="38" t="str">
        <f>IF(ISNA(VLOOKUP(Tableau13[[#This Row],[Code]],'Code Véhicule'!$A$4:$C$185,3,0)),"",VLOOKUP(Tableau13[[#This Row],[Code]],'Code Véhicule'!$A$4:$C$185,3,0))</f>
        <v>HYUNDAI H100</v>
      </c>
      <c r="E48" s="36" t="str">
        <f>IF(ISNA(VLOOKUP(Tableau13[[#This Row],[Code]],'Code Véhicule'!$A$4:$D$185,4,0))," ",VLOOKUP(Tableau13[[#This Row],[Code]],'Code Véhicule'!$A$4:$D$185,4,0))</f>
        <v>22368-A-73</v>
      </c>
      <c r="F48" s="36"/>
      <c r="G48" s="38" t="s">
        <v>391</v>
      </c>
      <c r="H48" s="38"/>
      <c r="I48" s="36" t="s">
        <v>304</v>
      </c>
      <c r="J48" s="43" t="s">
        <v>333</v>
      </c>
      <c r="K48" s="36">
        <v>43803</v>
      </c>
      <c r="L48" s="40"/>
      <c r="M48" s="36"/>
      <c r="N48" s="35">
        <v>43803</v>
      </c>
      <c r="O48" s="38"/>
      <c r="P48" s="38"/>
      <c r="Q48" s="176" t="e">
        <f>MONTH([1]!Tableau13[[#This Row],[Date début]])</f>
        <v>#REF!</v>
      </c>
      <c r="R48" s="180" t="e">
        <f>YEAR([1]!Tableau13[[#This Row],[Date début]])</f>
        <v>#REF!</v>
      </c>
      <c r="S48" s="34"/>
      <c r="T48" s="34"/>
    </row>
    <row r="49" spans="1:20" s="25" customFormat="1" ht="15.75" customHeight="1">
      <c r="A49" s="35">
        <v>43804</v>
      </c>
      <c r="B49" s="36">
        <v>431</v>
      </c>
      <c r="C49" s="37" t="str">
        <f>IF(ISNA(VLOOKUP(Tableau13[[#This Row],[Code]],'Code Véhicule'!$A$4:$C$185,2,0)),"",VLOOKUP(Tableau13[[#This Row],[Code]],'Code Véhicule'!$A$4:$C$185,2,0))</f>
        <v>Chariot elevateur</v>
      </c>
      <c r="D49" s="38" t="str">
        <f>IF(ISNA(VLOOKUP(Tableau13[[#This Row],[Code]],'Code Véhicule'!$A$4:$C$185,3,0)),"",VLOOKUP(Tableau13[[#This Row],[Code]],'Code Véhicule'!$A$4:$C$185,3,0))</f>
        <v>Manitou M26-2</v>
      </c>
      <c r="E49" s="36" t="str">
        <f>IF(ISNA(VLOOKUP(Tableau13[[#This Row],[Code]],'Code Véhicule'!$A$4:$D$185,4,0))," ",VLOOKUP(Tableau13[[#This Row],[Code]],'Code Véhicule'!$A$4:$D$185,4,0))</f>
        <v>-</v>
      </c>
      <c r="F49" s="36"/>
      <c r="G49" s="38" t="s">
        <v>389</v>
      </c>
      <c r="H49" s="38"/>
      <c r="I49" s="36" t="s">
        <v>304</v>
      </c>
      <c r="J49" s="43" t="s">
        <v>347</v>
      </c>
      <c r="K49" s="36"/>
      <c r="L49" s="40"/>
      <c r="M49" s="36" t="str">
        <f>IF(ISBLANK(Tableau13[[#This Row],[N BS]]),"",(Tableau13[[#This Row],[N BS]]-Tableau13[[#This Row],[Date début]]))</f>
        <v/>
      </c>
      <c r="N49" s="35">
        <v>43804</v>
      </c>
      <c r="O49" s="38"/>
      <c r="P49" s="38"/>
      <c r="Q49" s="176" t="e">
        <f>MONTH([1]!Tableau13[[#This Row],[Date début]])</f>
        <v>#REF!</v>
      </c>
      <c r="R49" s="180" t="e">
        <f>YEAR([1]!Tableau13[[#This Row],[Date début]])</f>
        <v>#REF!</v>
      </c>
      <c r="S49" s="34"/>
      <c r="T49" s="34"/>
    </row>
    <row r="50" spans="1:20" s="25" customFormat="1" ht="30" customHeight="1">
      <c r="A50" s="35">
        <v>43804</v>
      </c>
      <c r="B50" s="36">
        <v>432</v>
      </c>
      <c r="C50" s="37" t="str">
        <f>IF(ISNA(VLOOKUP(Tableau13[[#This Row],[Code]],'Code Véhicule'!$A$4:$C$185,2,0)),"",VLOOKUP(Tableau13[[#This Row],[Code]],'Code Véhicule'!$A$4:$C$185,2,0))</f>
        <v>Voiture de fonction</v>
      </c>
      <c r="D50" s="38" t="str">
        <f>IF(ISNA(VLOOKUP(Tableau13[[#This Row],[Code]],'Code Véhicule'!$A$4:$C$185,3,0)),"",VLOOKUP(Tableau13[[#This Row],[Code]],'Code Véhicule'!$A$4:$C$185,3,0))</f>
        <v>Berlingo</v>
      </c>
      <c r="E50" s="36" t="str">
        <f>IF(ISNA(VLOOKUP(Tableau13[[#This Row],[Code]],'Code Véhicule'!$A$4:$D$185,4,0))," ",VLOOKUP(Tableau13[[#This Row],[Code]],'Code Véhicule'!$A$4:$D$185,4,0))</f>
        <v xml:space="preserve"> 9660 -A-73</v>
      </c>
      <c r="F50" s="36"/>
      <c r="G50" s="38" t="s">
        <v>392</v>
      </c>
      <c r="H50" s="38"/>
      <c r="I50" s="36" t="s">
        <v>304</v>
      </c>
      <c r="J50" s="43" t="s">
        <v>332</v>
      </c>
      <c r="K50" s="36">
        <v>43804</v>
      </c>
      <c r="L50" s="40"/>
      <c r="M50" s="36"/>
      <c r="N50" s="35">
        <v>43804</v>
      </c>
      <c r="O50" s="38"/>
      <c r="P50" s="38"/>
      <c r="Q50" s="176" t="e">
        <f>MONTH([1]!Tableau13[[#This Row],[Date début]])</f>
        <v>#REF!</v>
      </c>
      <c r="R50" s="180" t="e">
        <f>YEAR([1]!Tableau13[[#This Row],[Date début]])</f>
        <v>#REF!</v>
      </c>
      <c r="S50" s="34"/>
      <c r="T50" s="34"/>
    </row>
    <row r="51" spans="1:20" s="25" customFormat="1" ht="240" customHeight="1">
      <c r="A51" s="35">
        <v>43804</v>
      </c>
      <c r="B51" s="36">
        <v>409</v>
      </c>
      <c r="C51" s="37" t="str">
        <f>IF(ISNA(VLOOKUP(Tableau13[[#This Row],[Code]],'Code Véhicule'!$A$4:$C$185,2,0)),"",VLOOKUP(Tableau13[[#This Row],[Code]],'Code Véhicule'!$A$4:$C$185,2,0))</f>
        <v>Camion</v>
      </c>
      <c r="D51" s="38" t="str">
        <f>IF(ISNA(VLOOKUP(Tableau13[[#This Row],[Code]],'Code Véhicule'!$A$4:$C$185,3,0)),"",VLOOKUP(Tableau13[[#This Row],[Code]],'Code Véhicule'!$A$4:$C$185,3,0))</f>
        <v>Mitsubishi</v>
      </c>
      <c r="E51" s="36" t="str">
        <f>IF(ISNA(VLOOKUP(Tableau13[[#This Row],[Code]],'Code Véhicule'!$A$4:$D$185,4,0))," ",VLOOKUP(Tableau13[[#This Row],[Code]],'Code Véhicule'!$A$4:$D$185,4,0))</f>
        <v xml:space="preserve">4969-A-73 </v>
      </c>
      <c r="F51" s="36"/>
      <c r="G51" s="38" t="s">
        <v>388</v>
      </c>
      <c r="H51" s="38" t="s">
        <v>620</v>
      </c>
      <c r="I51" s="36" t="s">
        <v>304</v>
      </c>
      <c r="J51" s="43" t="s">
        <v>356</v>
      </c>
      <c r="K51" s="36" t="s">
        <v>642</v>
      </c>
      <c r="L51" s="40" t="s">
        <v>643</v>
      </c>
      <c r="M51" s="36" t="s">
        <v>644</v>
      </c>
      <c r="N51" s="35">
        <v>43836</v>
      </c>
      <c r="O51" s="38"/>
      <c r="P51" s="38"/>
      <c r="Q51" s="176" t="e">
        <f>MONTH([1]!Tableau13[[#This Row],[Date début]])</f>
        <v>#REF!</v>
      </c>
      <c r="R51" s="180" t="e">
        <f>YEAR([1]!Tableau13[[#This Row],[Date début]])</f>
        <v>#REF!</v>
      </c>
      <c r="S51" s="34"/>
      <c r="T51" s="34"/>
    </row>
    <row r="52" spans="1:20" s="25" customFormat="1" ht="15.75" customHeight="1">
      <c r="A52" s="35">
        <v>43805</v>
      </c>
      <c r="B52" s="36">
        <v>406</v>
      </c>
      <c r="C52" s="37" t="str">
        <f>IF(ISNA(VLOOKUP(Tableau13[[#This Row],[Code]],'Code Véhicule'!$A$4:$C$185,2,0)),"",VLOOKUP(Tableau13[[#This Row],[Code]],'Code Véhicule'!$A$4:$C$185,2,0))</f>
        <v>Semi remorque</v>
      </c>
      <c r="D52" s="38" t="str">
        <f>IF(ISNA(VLOOKUP(Tableau13[[#This Row],[Code]],'Code Véhicule'!$A$4:$C$185,3,0)),"",VLOOKUP(Tableau13[[#This Row],[Code]],'Code Véhicule'!$A$4:$C$185,3,0))</f>
        <v>VOLVO</v>
      </c>
      <c r="E52" s="36" t="str">
        <f>IF(ISNA(VLOOKUP(Tableau13[[#This Row],[Code]],'Code Véhicule'!$A$4:$D$185,4,0))," ",VLOOKUP(Tableau13[[#This Row],[Code]],'Code Véhicule'!$A$4:$D$185,4,0))</f>
        <v>70352-A-6</v>
      </c>
      <c r="F52" s="36"/>
      <c r="G52" s="38" t="s">
        <v>389</v>
      </c>
      <c r="H52" s="38"/>
      <c r="I52" s="36" t="s">
        <v>304</v>
      </c>
      <c r="J52" s="43" t="s">
        <v>311</v>
      </c>
      <c r="K52" s="36">
        <v>43805</v>
      </c>
      <c r="L52" s="40"/>
      <c r="M52" s="36"/>
      <c r="N52" s="35">
        <v>43805</v>
      </c>
      <c r="O52" s="38"/>
      <c r="P52" s="38"/>
      <c r="Q52" s="176" t="e">
        <f>MONTH([1]!Tableau13[[#This Row],[Date début]])</f>
        <v>#REF!</v>
      </c>
      <c r="R52" s="180" t="e">
        <f>YEAR([1]!Tableau13[[#This Row],[Date début]])</f>
        <v>#REF!</v>
      </c>
      <c r="S52" s="34"/>
      <c r="T52" s="34"/>
    </row>
    <row r="53" spans="1:20" s="25" customFormat="1" ht="15.75" customHeight="1">
      <c r="A53" s="35">
        <v>43806</v>
      </c>
      <c r="B53" s="36">
        <v>427</v>
      </c>
      <c r="C53" s="37" t="str">
        <f>IF(ISNA(VLOOKUP(Tableau13[[#This Row],[Code]],'Code Véhicule'!$A$4:$C$185,2,0)),"",VLOOKUP(Tableau13[[#This Row],[Code]],'Code Véhicule'!$A$4:$C$185,2,0))</f>
        <v>Chariot elevateur</v>
      </c>
      <c r="D53" s="38" t="str">
        <f>IF(ISNA(VLOOKUP(Tableau13[[#This Row],[Code]],'Code Véhicule'!$A$4:$C$185,3,0)),"",VLOOKUP(Tableau13[[#This Row],[Code]],'Code Véhicule'!$A$4:$C$185,3,0))</f>
        <v>Linde H30</v>
      </c>
      <c r="E53" s="36" t="str">
        <f>IF(ISNA(VLOOKUP(Tableau13[[#This Row],[Code]],'Code Véhicule'!$A$4:$D$185,4,0))," ",VLOOKUP(Tableau13[[#This Row],[Code]],'Code Véhicule'!$A$4:$D$185,4,0))</f>
        <v>-</v>
      </c>
      <c r="F53" s="36"/>
      <c r="G53" s="38" t="s">
        <v>393</v>
      </c>
      <c r="H53" s="38"/>
      <c r="I53" s="36" t="s">
        <v>302</v>
      </c>
      <c r="J53" s="43" t="s">
        <v>342</v>
      </c>
      <c r="K53" s="36"/>
      <c r="L53" s="40"/>
      <c r="M53" s="36" t="str">
        <f>IF(ISBLANK(Tableau13[[#This Row],[N BS]]),"",(Tableau13[[#This Row],[N BS]]-Tableau13[[#This Row],[Date début]]))</f>
        <v/>
      </c>
      <c r="N53" s="35">
        <v>43806</v>
      </c>
      <c r="O53" s="38"/>
      <c r="P53" s="38"/>
      <c r="Q53" s="176" t="e">
        <f>MONTH([1]!Tableau13[[#This Row],[Date début]])</f>
        <v>#REF!</v>
      </c>
      <c r="R53" s="180" t="e">
        <f>YEAR([1]!Tableau13[[#This Row],[Date début]])</f>
        <v>#REF!</v>
      </c>
      <c r="S53" s="34"/>
      <c r="T53" s="34"/>
    </row>
    <row r="54" spans="1:20" s="25" customFormat="1" ht="15.75" customHeight="1">
      <c r="A54" s="35">
        <v>43806</v>
      </c>
      <c r="B54" s="36">
        <v>413</v>
      </c>
      <c r="C54" s="37" t="str">
        <f>IF(ISNA(VLOOKUP(Tableau13[[#This Row],[Code]],'Code Véhicule'!$A$4:$C$185,2,0)),"",VLOOKUP(Tableau13[[#This Row],[Code]],'Code Véhicule'!$A$4:$C$185,2,0))</f>
        <v>Chargeur</v>
      </c>
      <c r="D54" s="38" t="str">
        <f>IF(ISNA(VLOOKUP(Tableau13[[#This Row],[Code]],'Code Véhicule'!$A$4:$C$185,3,0)),"",VLOOKUP(Tableau13[[#This Row],[Code]],'Code Véhicule'!$A$4:$C$185,3,0))</f>
        <v>Caterpillar</v>
      </c>
      <c r="E54" s="36" t="str">
        <f>IF(ISNA(VLOOKUP(Tableau13[[#This Row],[Code]],'Code Véhicule'!$A$4:$D$185,4,0))," ",VLOOKUP(Tableau13[[#This Row],[Code]],'Code Véhicule'!$A$4:$D$185,4,0))</f>
        <v>-</v>
      </c>
      <c r="F54" s="36"/>
      <c r="G54" s="38" t="s">
        <v>389</v>
      </c>
      <c r="H54" s="38"/>
      <c r="I54" s="36" t="s">
        <v>304</v>
      </c>
      <c r="J54" s="43" t="s">
        <v>348</v>
      </c>
      <c r="K54" s="36"/>
      <c r="L54" s="40"/>
      <c r="M54" s="36" t="str">
        <f>IF(ISBLANK(Tableau13[[#This Row],[N BS]]),"",(Tableau13[[#This Row],[N BS]]-Tableau13[[#This Row],[Date début]]))</f>
        <v/>
      </c>
      <c r="N54" s="35">
        <v>43806</v>
      </c>
      <c r="O54" s="38"/>
      <c r="P54" s="38"/>
      <c r="Q54" s="176" t="e">
        <f>MONTH([1]!Tableau13[[#This Row],[Date début]])</f>
        <v>#REF!</v>
      </c>
      <c r="R54" s="180" t="e">
        <f>YEAR([1]!Tableau13[[#This Row],[Date début]])</f>
        <v>#REF!</v>
      </c>
      <c r="S54" s="34"/>
      <c r="T54" s="34"/>
    </row>
    <row r="55" spans="1:20" ht="30" customHeight="1">
      <c r="A55" s="35">
        <v>43806</v>
      </c>
      <c r="B55" s="36">
        <v>403</v>
      </c>
      <c r="C55" s="37" t="str">
        <f>IF(ISNA(VLOOKUP(Tableau13[[#This Row],[Code]],'Code Véhicule'!$A$4:$C$185,2,0)),"",VLOOKUP(Tableau13[[#This Row],[Code]],'Code Véhicule'!$A$4:$C$185,2,0))</f>
        <v>Camion</v>
      </c>
      <c r="D55" s="38" t="str">
        <f>IF(ISNA(VLOOKUP(Tableau13[[#This Row],[Code]],'Code Véhicule'!$A$4:$C$185,3,0)),"",VLOOKUP(Tableau13[[#This Row],[Code]],'Code Véhicule'!$A$4:$C$185,3,0))</f>
        <v>MAN</v>
      </c>
      <c r="E55" s="36" t="str">
        <f>IF(ISNA(VLOOKUP(Tableau13[[#This Row],[Code]],'Code Véhicule'!$A$4:$D$185,4,0))," ",VLOOKUP(Tableau13[[#This Row],[Code]],'Code Véhicule'!$A$4:$D$185,4,0))</f>
        <v>4790-B-8</v>
      </c>
      <c r="F55" s="36"/>
      <c r="G55" s="38" t="s">
        <v>389</v>
      </c>
      <c r="H55" s="38"/>
      <c r="I55" s="36" t="s">
        <v>304</v>
      </c>
      <c r="J55" s="43" t="s">
        <v>337</v>
      </c>
      <c r="K55" s="36">
        <v>43806</v>
      </c>
      <c r="L55" s="40"/>
      <c r="M55" s="36"/>
      <c r="N55" s="35">
        <v>43806</v>
      </c>
      <c r="O55" s="38"/>
      <c r="P55" s="38"/>
      <c r="Q55" s="176" t="e">
        <f>MONTH([1]!Tableau13[[#This Row],[Date début]])</f>
        <v>#REF!</v>
      </c>
      <c r="R55" s="180" t="e">
        <f>YEAR([1]!Tableau13[[#This Row],[Date début]])</f>
        <v>#REF!</v>
      </c>
    </row>
    <row r="56" spans="1:20" ht="15.75" customHeight="1">
      <c r="A56" s="35">
        <v>43808</v>
      </c>
      <c r="B56" s="36">
        <v>430</v>
      </c>
      <c r="C56" s="37" t="str">
        <f>IF(ISNA(VLOOKUP(Tableau13[[#This Row],[Code]],'Code Véhicule'!$A$4:$C$185,2,0)),"",VLOOKUP(Tableau13[[#This Row],[Code]],'Code Véhicule'!$A$4:$C$185,2,0))</f>
        <v>Chariot elevateur</v>
      </c>
      <c r="D56" s="38" t="str">
        <f>IF(ISNA(VLOOKUP(Tableau13[[#This Row],[Code]],'Code Véhicule'!$A$4:$C$185,3,0)),"",VLOOKUP(Tableau13[[#This Row],[Code]],'Code Véhicule'!$A$4:$C$185,3,0))</f>
        <v>Fenwick  H40</v>
      </c>
      <c r="E56" s="36" t="str">
        <f>IF(ISNA(VLOOKUP(Tableau13[[#This Row],[Code]],'Code Véhicule'!$A$4:$D$185,4,0))," ",VLOOKUP(Tableau13[[#This Row],[Code]],'Code Véhicule'!$A$4:$D$185,4,0))</f>
        <v>-</v>
      </c>
      <c r="F56" s="36"/>
      <c r="G56" s="38" t="s">
        <v>389</v>
      </c>
      <c r="H56" s="38"/>
      <c r="I56" s="36" t="s">
        <v>304</v>
      </c>
      <c r="J56" s="43" t="s">
        <v>349</v>
      </c>
      <c r="K56" s="36"/>
      <c r="L56" s="40"/>
      <c r="M56" s="36" t="str">
        <f>IF(ISBLANK(Tableau13[[#This Row],[N BS]]),"",(Tableau13[[#This Row],[N BS]]-Tableau13[[#This Row],[Date début]]))</f>
        <v/>
      </c>
      <c r="N56" s="35">
        <v>43808</v>
      </c>
      <c r="O56" s="38"/>
      <c r="P56" s="38"/>
      <c r="Q56" s="176" t="e">
        <f>MONTH([1]!Tableau13[[#This Row],[Date début]])</f>
        <v>#REF!</v>
      </c>
      <c r="R56" s="180" t="e">
        <f>YEAR([1]!Tableau13[[#This Row],[Date début]])</f>
        <v>#REF!</v>
      </c>
    </row>
    <row r="57" spans="1:20" ht="15.75" customHeight="1">
      <c r="A57" s="35">
        <v>43808</v>
      </c>
      <c r="B57" s="36">
        <v>407</v>
      </c>
      <c r="C57" s="37" t="str">
        <f>IF(ISNA(VLOOKUP(Tableau13[[#This Row],[Code]],'Code Véhicule'!$A$4:$C$185,2,0)),"",VLOOKUP(Tableau13[[#This Row],[Code]],'Code Véhicule'!$A$4:$C$185,2,0))</f>
        <v>Semi remorque</v>
      </c>
      <c r="D57" s="38" t="str">
        <f>IF(ISNA(VLOOKUP(Tableau13[[#This Row],[Code]],'Code Véhicule'!$A$4:$C$185,3,0)),"",VLOOKUP(Tableau13[[#This Row],[Code]],'Code Véhicule'!$A$4:$C$185,3,0))</f>
        <v>MAN</v>
      </c>
      <c r="E57" s="36" t="str">
        <f>IF(ISNA(VLOOKUP(Tableau13[[#This Row],[Code]],'Code Véhicule'!$A$4:$D$185,4,0))," ",VLOOKUP(Tableau13[[#This Row],[Code]],'Code Véhicule'!$A$4:$D$185,4,0))</f>
        <v>706-A-73</v>
      </c>
      <c r="F57" s="36"/>
      <c r="G57" s="38" t="s">
        <v>387</v>
      </c>
      <c r="H57" s="38"/>
      <c r="I57" s="36" t="s">
        <v>304</v>
      </c>
      <c r="J57" s="43" t="s">
        <v>335</v>
      </c>
      <c r="K57" s="36">
        <v>43808</v>
      </c>
      <c r="L57" s="40"/>
      <c r="M57" s="36"/>
      <c r="N57" s="35">
        <v>43808</v>
      </c>
      <c r="O57" s="38"/>
      <c r="P57" s="38"/>
      <c r="Q57" s="176" t="e">
        <f>MONTH([1]!Tableau13[[#This Row],[Date début]])</f>
        <v>#REF!</v>
      </c>
      <c r="R57" s="180" t="e">
        <f>YEAR([1]!Tableau13[[#This Row],[Date début]])</f>
        <v>#REF!</v>
      </c>
    </row>
    <row r="58" spans="1:20" ht="15.75" customHeight="1">
      <c r="A58" s="35">
        <v>43808</v>
      </c>
      <c r="B58" s="36">
        <v>405</v>
      </c>
      <c r="C58" s="37" t="str">
        <f>IF(ISNA(VLOOKUP(Tableau13[[#This Row],[Code]],'Code Véhicule'!$A$4:$C$185,2,0)),"",VLOOKUP(Tableau13[[#This Row],[Code]],'Code Véhicule'!$A$4:$C$185,2,0))</f>
        <v>Camion</v>
      </c>
      <c r="D58" s="38" t="str">
        <f>IF(ISNA(VLOOKUP(Tableau13[[#This Row],[Code]],'Code Véhicule'!$A$4:$C$185,3,0)),"",VLOOKUP(Tableau13[[#This Row],[Code]],'Code Véhicule'!$A$4:$C$185,3,0))</f>
        <v>ISUZU</v>
      </c>
      <c r="E58" s="36" t="str">
        <f>IF(ISNA(VLOOKUP(Tableau13[[#This Row],[Code]],'Code Véhicule'!$A$4:$D$185,4,0))," ",VLOOKUP(Tableau13[[#This Row],[Code]],'Code Véhicule'!$A$4:$D$185,4,0))</f>
        <v xml:space="preserve"> 22128-W-6</v>
      </c>
      <c r="F58" s="36"/>
      <c r="G58" s="38" t="s">
        <v>399</v>
      </c>
      <c r="H58" s="38"/>
      <c r="I58" s="36" t="s">
        <v>304</v>
      </c>
      <c r="J58" s="43" t="s">
        <v>338</v>
      </c>
      <c r="K58" s="36">
        <v>43809</v>
      </c>
      <c r="L58" s="40"/>
      <c r="M58" s="36"/>
      <c r="N58" s="35">
        <v>43808</v>
      </c>
      <c r="O58" s="38"/>
      <c r="P58" s="38"/>
      <c r="Q58" s="176" t="e">
        <f>MONTH([1]!Tableau13[[#This Row],[Date début]])</f>
        <v>#REF!</v>
      </c>
      <c r="R58" s="180" t="e">
        <f>YEAR([1]!Tableau13[[#This Row],[Date début]])</f>
        <v>#REF!</v>
      </c>
    </row>
    <row r="59" spans="1:20" ht="15.75" customHeight="1">
      <c r="A59" s="35">
        <v>43809</v>
      </c>
      <c r="B59" s="36">
        <v>439</v>
      </c>
      <c r="C59" s="37" t="str">
        <f>IF(ISNA(VLOOKUP(Tableau13[[#This Row],[Code]],'Code Véhicule'!$A$4:$C$185,2,0)),"",VLOOKUP(Tableau13[[#This Row],[Code]],'Code Véhicule'!$A$4:$C$185,2,0))</f>
        <v>Semi remorque</v>
      </c>
      <c r="D59" s="38" t="str">
        <f>IF(ISNA(VLOOKUP(Tableau13[[#This Row],[Code]],'Code Véhicule'!$A$4:$C$185,3,0)),"",VLOOKUP(Tableau13[[#This Row],[Code]],'Code Véhicule'!$A$4:$C$185,3,0))</f>
        <v>VOLVO</v>
      </c>
      <c r="E59" s="36" t="str">
        <f>IF(ISNA(VLOOKUP(Tableau13[[#This Row],[Code]],'Code Véhicule'!$A$4:$D$185,4,0))," ",VLOOKUP(Tableau13[[#This Row],[Code]],'Code Véhicule'!$A$4:$D$185,4,0))</f>
        <v xml:space="preserve">17886-A-73 </v>
      </c>
      <c r="F59" s="36"/>
      <c r="G59" s="38" t="s">
        <v>327</v>
      </c>
      <c r="H59" s="38"/>
      <c r="I59" s="36" t="s">
        <v>304</v>
      </c>
      <c r="J59" s="43" t="s">
        <v>339</v>
      </c>
      <c r="K59" s="36">
        <v>43809</v>
      </c>
      <c r="L59" s="40"/>
      <c r="M59" s="36"/>
      <c r="N59" s="35">
        <v>43809</v>
      </c>
      <c r="O59" s="38"/>
      <c r="P59" s="38"/>
      <c r="Q59" s="176" t="e">
        <f>MONTH([1]!Tableau13[[#This Row],[Date début]])</f>
        <v>#REF!</v>
      </c>
      <c r="R59" s="180" t="e">
        <f>YEAR([1]!Tableau13[[#This Row],[Date début]])</f>
        <v>#REF!</v>
      </c>
    </row>
    <row r="60" spans="1:20" ht="15.75" customHeight="1">
      <c r="A60" s="35">
        <v>43809</v>
      </c>
      <c r="B60" s="36">
        <v>408</v>
      </c>
      <c r="C60" s="37" t="str">
        <f>IF(ISNA(VLOOKUP(Tableau13[[#This Row],[Code]],'Code Véhicule'!$A$4:$C$185,2,0)),"",VLOOKUP(Tableau13[[#This Row],[Code]],'Code Véhicule'!$A$4:$C$185,2,0))</f>
        <v>Camion</v>
      </c>
      <c r="D60" s="38" t="str">
        <f>IF(ISNA(VLOOKUP(Tableau13[[#This Row],[Code]],'Code Véhicule'!$A$4:$C$185,3,0)),"",VLOOKUP(Tableau13[[#This Row],[Code]],'Code Véhicule'!$A$4:$C$185,3,0))</f>
        <v>Mitsubishi</v>
      </c>
      <c r="E60" s="36" t="str">
        <f>IF(ISNA(VLOOKUP(Tableau13[[#This Row],[Code]],'Code Véhicule'!$A$4:$D$185,4,0))," ",VLOOKUP(Tableau13[[#This Row],[Code]],'Code Véhicule'!$A$4:$D$185,4,0))</f>
        <v>4703-A-73</v>
      </c>
      <c r="F60" s="36"/>
      <c r="G60" s="38" t="s">
        <v>389</v>
      </c>
      <c r="H60" s="38"/>
      <c r="I60" s="36" t="s">
        <v>304</v>
      </c>
      <c r="J60" s="43" t="s">
        <v>311</v>
      </c>
      <c r="K60" s="36">
        <v>43809</v>
      </c>
      <c r="L60" s="40"/>
      <c r="M60" s="36"/>
      <c r="N60" s="35">
        <v>43809</v>
      </c>
      <c r="O60" s="38"/>
      <c r="P60" s="38"/>
      <c r="Q60" s="176" t="e">
        <f>MONTH([1]!Tableau13[[#This Row],[Date début]])</f>
        <v>#REF!</v>
      </c>
      <c r="R60" s="180" t="e">
        <f>YEAR([1]!Tableau13[[#This Row],[Date début]])</f>
        <v>#REF!</v>
      </c>
    </row>
    <row r="61" spans="1:20" ht="120" customHeight="1">
      <c r="A61" s="35">
        <v>43809</v>
      </c>
      <c r="B61" s="36">
        <v>403</v>
      </c>
      <c r="C61" s="37" t="str">
        <f>IF(ISNA(VLOOKUP(Tableau13[[#This Row],[Code]],'Code Véhicule'!$A$4:$C$185,2,0)),"",VLOOKUP(Tableau13[[#This Row],[Code]],'Code Véhicule'!$A$4:$C$185,2,0))</f>
        <v>Camion</v>
      </c>
      <c r="D61" s="38" t="str">
        <f>IF(ISNA(VLOOKUP(Tableau13[[#This Row],[Code]],'Code Véhicule'!$A$4:$C$185,3,0)),"",VLOOKUP(Tableau13[[#This Row],[Code]],'Code Véhicule'!$A$4:$C$185,3,0))</f>
        <v>MAN</v>
      </c>
      <c r="E61" s="36" t="str">
        <f>IF(ISNA(VLOOKUP(Tableau13[[#This Row],[Code]],'Code Véhicule'!$A$4:$D$185,4,0))," ",VLOOKUP(Tableau13[[#This Row],[Code]],'Code Véhicule'!$A$4:$D$185,4,0))</f>
        <v>4790-B-8</v>
      </c>
      <c r="F61" s="36"/>
      <c r="G61" s="38" t="s">
        <v>397</v>
      </c>
      <c r="H61" s="38"/>
      <c r="I61" s="36" t="s">
        <v>304</v>
      </c>
      <c r="J61" s="43" t="s">
        <v>352</v>
      </c>
      <c r="K61" s="36"/>
      <c r="L61" s="40"/>
      <c r="M61" s="36"/>
      <c r="N61" s="35">
        <v>43809</v>
      </c>
      <c r="O61" s="38"/>
      <c r="P61" s="38"/>
      <c r="Q61" s="176" t="e">
        <f>MONTH([1]!Tableau13[[#This Row],[Date début]])</f>
        <v>#REF!</v>
      </c>
      <c r="R61" s="180" t="e">
        <f>YEAR([1]!Tableau13[[#This Row],[Date début]])</f>
        <v>#REF!</v>
      </c>
    </row>
    <row r="62" spans="1:20" ht="30" customHeight="1">
      <c r="A62" s="35">
        <v>43810</v>
      </c>
      <c r="B62" s="36">
        <v>408</v>
      </c>
      <c r="C62" s="37" t="str">
        <f>IF(ISNA(VLOOKUP(Tableau13[[#This Row],[Code]],'Code Véhicule'!$A$4:$C$185,2,0)),"",VLOOKUP(Tableau13[[#This Row],[Code]],'Code Véhicule'!$A$4:$C$185,2,0))</f>
        <v>Camion</v>
      </c>
      <c r="D62" s="38" t="str">
        <f>IF(ISNA(VLOOKUP(Tableau13[[#This Row],[Code]],'Code Véhicule'!$A$4:$C$185,3,0)),"",VLOOKUP(Tableau13[[#This Row],[Code]],'Code Véhicule'!$A$4:$C$185,3,0))</f>
        <v>Mitsubishi</v>
      </c>
      <c r="E62" s="36" t="str">
        <f>IF(ISNA(VLOOKUP(Tableau13[[#This Row],[Code]],'Code Véhicule'!$A$4:$D$185,4,0))," ",VLOOKUP(Tableau13[[#This Row],[Code]],'Code Véhicule'!$A$4:$D$185,4,0))</f>
        <v>4703-A-73</v>
      </c>
      <c r="F62" s="36"/>
      <c r="G62" s="38" t="s">
        <v>393</v>
      </c>
      <c r="H62" s="38"/>
      <c r="I62" s="36" t="s">
        <v>302</v>
      </c>
      <c r="J62" s="43" t="s">
        <v>404</v>
      </c>
      <c r="K62" s="36"/>
      <c r="L62" s="40"/>
      <c r="M62" s="36"/>
      <c r="N62" s="35">
        <v>43810</v>
      </c>
      <c r="O62" s="38"/>
      <c r="P62" s="38"/>
      <c r="Q62" s="176" t="e">
        <f>MONTH([1]!Tableau13[[#This Row],[Date début]])</f>
        <v>#REF!</v>
      </c>
      <c r="R62" s="180" t="e">
        <f>YEAR([1]!Tableau13[[#This Row],[Date début]])</f>
        <v>#REF!</v>
      </c>
    </row>
    <row r="63" spans="1:20" ht="30" customHeight="1">
      <c r="A63" s="35">
        <v>43810</v>
      </c>
      <c r="B63" s="36">
        <v>435</v>
      </c>
      <c r="C63" s="37" t="str">
        <f>IF(ISNA(VLOOKUP(Tableau13[[#This Row],[Code]],'Code Véhicule'!$A$4:$C$185,2,0)),"",VLOOKUP(Tableau13[[#This Row],[Code]],'Code Véhicule'!$A$4:$C$185,2,0))</f>
        <v>Camion</v>
      </c>
      <c r="D63" s="38" t="str">
        <f>IF(ISNA(VLOOKUP(Tableau13[[#This Row],[Code]],'Code Véhicule'!$A$4:$C$185,3,0)),"",VLOOKUP(Tableau13[[#This Row],[Code]],'Code Véhicule'!$A$4:$C$185,3,0))</f>
        <v>Mitsubishi</v>
      </c>
      <c r="E63" s="36" t="str">
        <f>IF(ISNA(VLOOKUP(Tableau13[[#This Row],[Code]],'Code Véhicule'!$A$4:$D$185,4,0))," ",VLOOKUP(Tableau13[[#This Row],[Code]],'Code Véhicule'!$A$4:$D$185,4,0))</f>
        <v xml:space="preserve"> 11469-A-73</v>
      </c>
      <c r="F63" s="36"/>
      <c r="G63" s="38" t="s">
        <v>389</v>
      </c>
      <c r="H63" s="38"/>
      <c r="I63" s="36" t="s">
        <v>304</v>
      </c>
      <c r="J63" s="43" t="s">
        <v>340</v>
      </c>
      <c r="K63" s="36"/>
      <c r="L63" s="40"/>
      <c r="M63" s="36"/>
      <c r="N63" s="35">
        <v>43810</v>
      </c>
      <c r="O63" s="38"/>
      <c r="P63" s="38"/>
      <c r="Q63" s="176" t="e">
        <f>MONTH([1]!Tableau13[[#This Row],[Date début]])</f>
        <v>#REF!</v>
      </c>
      <c r="R63" s="180" t="e">
        <f>YEAR([1]!Tableau13[[#This Row],[Date début]])</f>
        <v>#REF!</v>
      </c>
    </row>
    <row r="64" spans="1:20" ht="30" customHeight="1">
      <c r="A64" s="35">
        <v>43811</v>
      </c>
      <c r="B64" s="36">
        <v>426</v>
      </c>
      <c r="C64" s="37" t="str">
        <f>IF(ISNA(VLOOKUP(Tableau13[[#This Row],[Code]],'Code Véhicule'!$A$4:$C$185,2,0)),"",VLOOKUP(Tableau13[[#This Row],[Code]],'Code Véhicule'!$A$4:$C$185,2,0))</f>
        <v>Chariot elevateur</v>
      </c>
      <c r="D64" s="38" t="str">
        <f>IF(ISNA(VLOOKUP(Tableau13[[#This Row],[Code]],'Code Véhicule'!$A$4:$C$185,3,0)),"",VLOOKUP(Tableau13[[#This Row],[Code]],'Code Véhicule'!$A$4:$C$185,3,0))</f>
        <v>Manitou MC 30</v>
      </c>
      <c r="E64" s="36" t="str">
        <f>IF(ISNA(VLOOKUP(Tableau13[[#This Row],[Code]],'Code Véhicule'!$A$4:$D$185,4,0))," ",VLOOKUP(Tableau13[[#This Row],[Code]],'Code Véhicule'!$A$4:$D$185,4,0))</f>
        <v>-</v>
      </c>
      <c r="F64" s="36"/>
      <c r="G64" s="38" t="s">
        <v>401</v>
      </c>
      <c r="H64" s="38"/>
      <c r="I64" s="36" t="s">
        <v>304</v>
      </c>
      <c r="J64" s="43" t="s">
        <v>369</v>
      </c>
      <c r="K64" s="36"/>
      <c r="L64" s="40"/>
      <c r="M64" s="36" t="str">
        <f>IF(ISBLANK(Tableau13[[#This Row],[N BS]]),"",(Tableau13[[#This Row],[N BS]]-Tableau13[[#This Row],[Date début]]))</f>
        <v/>
      </c>
      <c r="N64" s="35">
        <v>43811</v>
      </c>
      <c r="O64" s="38"/>
      <c r="P64" s="38"/>
      <c r="Q64" s="176" t="e">
        <f>MONTH([1]!Tableau13[[#This Row],[Date début]])</f>
        <v>#REF!</v>
      </c>
      <c r="R64" s="180" t="e">
        <f>YEAR([1]!Tableau13[[#This Row],[Date début]])</f>
        <v>#REF!</v>
      </c>
    </row>
    <row r="65" spans="1:18" ht="15.75" customHeight="1">
      <c r="A65" s="35">
        <v>43811</v>
      </c>
      <c r="B65" s="36">
        <v>429</v>
      </c>
      <c r="C65" s="37" t="str">
        <f>IF(ISNA(VLOOKUP(Tableau13[[#This Row],[Code]],'Code Véhicule'!$A$4:$C$185,2,0)),"",VLOOKUP(Tableau13[[#This Row],[Code]],'Code Véhicule'!$A$4:$C$185,2,0))</f>
        <v>Chariot elevateur</v>
      </c>
      <c r="D65" s="38" t="str">
        <f>IF(ISNA(VLOOKUP(Tableau13[[#This Row],[Code]],'Code Véhicule'!$A$4:$C$185,3,0)),"",VLOOKUP(Tableau13[[#This Row],[Code]],'Code Véhicule'!$A$4:$C$185,3,0))</f>
        <v>Fenwick HD30</v>
      </c>
      <c r="E65" s="36" t="str">
        <f>IF(ISNA(VLOOKUP(Tableau13[[#This Row],[Code]],'Code Véhicule'!$A$4:$D$185,4,0))," ",VLOOKUP(Tableau13[[#This Row],[Code]],'Code Véhicule'!$A$4:$D$185,4,0))</f>
        <v>-</v>
      </c>
      <c r="F65" s="36"/>
      <c r="G65" s="38" t="s">
        <v>393</v>
      </c>
      <c r="H65" s="38"/>
      <c r="I65" s="36" t="s">
        <v>302</v>
      </c>
      <c r="J65" s="43" t="s">
        <v>342</v>
      </c>
      <c r="K65" s="36"/>
      <c r="L65" s="40"/>
      <c r="M65" s="36" t="str">
        <f>IF(ISBLANK(Tableau13[[#This Row],[N BS]]),"",(Tableau13[[#This Row],[N BS]]-Tableau13[[#This Row],[Date début]]))</f>
        <v/>
      </c>
      <c r="N65" s="35">
        <v>43811</v>
      </c>
      <c r="O65" s="38"/>
      <c r="P65" s="38"/>
      <c r="Q65" s="176" t="e">
        <f>MONTH([1]!Tableau13[[#This Row],[Date début]])</f>
        <v>#REF!</v>
      </c>
      <c r="R65" s="180" t="e">
        <f>YEAR([1]!Tableau13[[#This Row],[Date début]])</f>
        <v>#REF!</v>
      </c>
    </row>
    <row r="66" spans="1:18" ht="15.75" customHeight="1">
      <c r="A66" s="35">
        <v>43811</v>
      </c>
      <c r="B66" s="36">
        <v>401</v>
      </c>
      <c r="C66" s="37" t="str">
        <f>IF(ISNA(VLOOKUP(Tableau13[[#This Row],[Code]],'Code Véhicule'!$A$4:$C$185,2,0)),"",VLOOKUP(Tableau13[[#This Row],[Code]],'Code Véhicule'!$A$4:$C$185,2,0))</f>
        <v>Camion</v>
      </c>
      <c r="D66" s="38" t="str">
        <f>IF(ISNA(VLOOKUP(Tableau13[[#This Row],[Code]],'Code Véhicule'!$A$4:$C$185,3,0)),"",VLOOKUP(Tableau13[[#This Row],[Code]],'Code Véhicule'!$A$4:$C$185,3,0))</f>
        <v>ISUZU</v>
      </c>
      <c r="E66" s="36" t="str">
        <f>IF(ISNA(VLOOKUP(Tableau13[[#This Row],[Code]],'Code Véhicule'!$A$4:$D$185,4,0))," ",VLOOKUP(Tableau13[[#This Row],[Code]],'Code Véhicule'!$A$4:$D$185,4,0))</f>
        <v>26128-A-8</v>
      </c>
      <c r="F66" s="36"/>
      <c r="G66" s="38" t="s">
        <v>389</v>
      </c>
      <c r="H66" s="38"/>
      <c r="I66" s="36" t="s">
        <v>304</v>
      </c>
      <c r="J66" s="43" t="s">
        <v>311</v>
      </c>
      <c r="K66" s="36"/>
      <c r="L66" s="40"/>
      <c r="M66" s="36"/>
      <c r="N66" s="35">
        <v>43811</v>
      </c>
      <c r="O66" s="38"/>
      <c r="P66" s="38"/>
      <c r="Q66" s="176" t="e">
        <f>MONTH([1]!Tableau13[[#This Row],[Date début]])</f>
        <v>#REF!</v>
      </c>
      <c r="R66" s="180" t="e">
        <f>YEAR([1]!Tableau13[[#This Row],[Date début]])</f>
        <v>#REF!</v>
      </c>
    </row>
    <row r="67" spans="1:18" ht="15.75" customHeight="1">
      <c r="A67" s="35">
        <v>43811</v>
      </c>
      <c r="B67" s="36">
        <v>430</v>
      </c>
      <c r="C67" s="37" t="str">
        <f>IF(ISNA(VLOOKUP(Tableau13[[#This Row],[Code]],'Code Véhicule'!$A$4:$C$185,2,0)),"",VLOOKUP(Tableau13[[#This Row],[Code]],'Code Véhicule'!$A$4:$C$185,2,0))</f>
        <v>Chariot elevateur</v>
      </c>
      <c r="D67" s="38" t="str">
        <f>IF(ISNA(VLOOKUP(Tableau13[[#This Row],[Code]],'Code Véhicule'!$A$4:$C$185,3,0)),"",VLOOKUP(Tableau13[[#This Row],[Code]],'Code Véhicule'!$A$4:$C$185,3,0))</f>
        <v>Fenwick  H40</v>
      </c>
      <c r="E67" s="36" t="str">
        <f>IF(ISNA(VLOOKUP(Tableau13[[#This Row],[Code]],'Code Véhicule'!$A$4:$D$185,4,0))," ",VLOOKUP(Tableau13[[#This Row],[Code]],'Code Véhicule'!$A$4:$D$185,4,0))</f>
        <v>-</v>
      </c>
      <c r="F67" s="36"/>
      <c r="G67" s="38" t="s">
        <v>393</v>
      </c>
      <c r="H67" s="38"/>
      <c r="I67" s="36" t="s">
        <v>322</v>
      </c>
      <c r="J67" s="43" t="s">
        <v>364</v>
      </c>
      <c r="K67" s="36"/>
      <c r="L67" s="40"/>
      <c r="M67" s="36"/>
      <c r="N67" s="35">
        <v>43811</v>
      </c>
      <c r="O67" s="38"/>
      <c r="P67" s="38"/>
      <c r="Q67" s="176" t="e">
        <f>MONTH([1]!Tableau13[[#This Row],[Date début]])</f>
        <v>#REF!</v>
      </c>
      <c r="R67" s="180" t="e">
        <f>YEAR([1]!Tableau13[[#This Row],[Date début]])</f>
        <v>#REF!</v>
      </c>
    </row>
    <row r="68" spans="1:18" ht="30" customHeight="1">
      <c r="A68" s="35">
        <v>43811</v>
      </c>
      <c r="B68" s="36">
        <v>428</v>
      </c>
      <c r="C68" s="37" t="str">
        <f>IF(ISNA(VLOOKUP(Tableau13[[#This Row],[Code]],'Code Véhicule'!$A$4:$C$185,2,0)),"",VLOOKUP(Tableau13[[#This Row],[Code]],'Code Véhicule'!$A$4:$C$185,2,0))</f>
        <v>Chariot elevateur</v>
      </c>
      <c r="D68" s="38" t="str">
        <f>IF(ISNA(VLOOKUP(Tableau13[[#This Row],[Code]],'Code Véhicule'!$A$4:$C$185,3,0)),"",VLOOKUP(Tableau13[[#This Row],[Code]],'Code Véhicule'!$A$4:$C$185,3,0))</f>
        <v>Linde H30</v>
      </c>
      <c r="E68" s="36" t="str">
        <f>IF(ISNA(VLOOKUP(Tableau13[[#This Row],[Code]],'Code Véhicule'!$A$4:$D$185,4,0))," ",VLOOKUP(Tableau13[[#This Row],[Code]],'Code Véhicule'!$A$4:$D$185,4,0))</f>
        <v>-</v>
      </c>
      <c r="F68" s="36">
        <v>22180</v>
      </c>
      <c r="G68" s="38" t="s">
        <v>393</v>
      </c>
      <c r="H68" s="38"/>
      <c r="I68" s="36" t="s">
        <v>302</v>
      </c>
      <c r="J68" s="43" t="s">
        <v>370</v>
      </c>
      <c r="K68" s="36"/>
      <c r="L68" s="40"/>
      <c r="M68" s="36"/>
      <c r="N68" s="35">
        <v>43811</v>
      </c>
      <c r="O68" s="38"/>
      <c r="P68" s="38"/>
      <c r="Q68" s="176" t="e">
        <f>MONTH([1]!Tableau13[[#This Row],[Date début]])</f>
        <v>#REF!</v>
      </c>
      <c r="R68" s="180" t="e">
        <f>YEAR([1]!Tableau13[[#This Row],[Date début]])</f>
        <v>#REF!</v>
      </c>
    </row>
    <row r="69" spans="1:18" ht="30" customHeight="1">
      <c r="A69" s="35">
        <v>43812</v>
      </c>
      <c r="B69" s="36">
        <v>435</v>
      </c>
      <c r="C69" s="37" t="str">
        <f>IF(ISNA(VLOOKUP(Tableau13[[#This Row],[Code]],'Code Véhicule'!$A$4:$C$185,2,0)),"",VLOOKUP(Tableau13[[#This Row],[Code]],'Code Véhicule'!$A$4:$C$185,2,0))</f>
        <v>Camion</v>
      </c>
      <c r="D69" s="38" t="str">
        <f>IF(ISNA(VLOOKUP(Tableau13[[#This Row],[Code]],'Code Véhicule'!$A$4:$C$185,3,0)),"",VLOOKUP(Tableau13[[#This Row],[Code]],'Code Véhicule'!$A$4:$C$185,3,0))</f>
        <v>Mitsubishi</v>
      </c>
      <c r="E69" s="36" t="str">
        <f>IF(ISNA(VLOOKUP(Tableau13[[#This Row],[Code]],'Code Véhicule'!$A$4:$D$185,4,0))," ",VLOOKUP(Tableau13[[#This Row],[Code]],'Code Véhicule'!$A$4:$D$185,4,0))</f>
        <v xml:space="preserve"> 11469-A-73</v>
      </c>
      <c r="F69" s="36"/>
      <c r="G69" s="38" t="s">
        <v>389</v>
      </c>
      <c r="H69" s="38"/>
      <c r="I69" s="36" t="s">
        <v>304</v>
      </c>
      <c r="J69" s="43" t="s">
        <v>350</v>
      </c>
      <c r="K69" s="36"/>
      <c r="L69" s="40"/>
      <c r="M69" s="36"/>
      <c r="N69" s="35">
        <v>43812</v>
      </c>
      <c r="O69" s="38"/>
      <c r="P69" s="38"/>
      <c r="Q69" s="176" t="e">
        <f>MONTH([1]!Tableau13[[#This Row],[Date début]])</f>
        <v>#REF!</v>
      </c>
      <c r="R69" s="180" t="e">
        <f>YEAR([1]!Tableau13[[#This Row],[Date début]])</f>
        <v>#REF!</v>
      </c>
    </row>
    <row r="70" spans="1:18" ht="15.75" customHeight="1">
      <c r="A70" s="35">
        <v>43812</v>
      </c>
      <c r="B70" s="36">
        <v>410</v>
      </c>
      <c r="C70" s="37" t="str">
        <f>IF(ISNA(VLOOKUP(Tableau13[[#This Row],[Code]],'Code Véhicule'!$A$4:$C$185,2,0)),"",VLOOKUP(Tableau13[[#This Row],[Code]],'Code Véhicule'!$A$4:$C$185,2,0))</f>
        <v>Semi remorque</v>
      </c>
      <c r="D70" s="38" t="str">
        <f>IF(ISNA(VLOOKUP(Tableau13[[#This Row],[Code]],'Code Véhicule'!$A$4:$C$185,3,0)),"",VLOOKUP(Tableau13[[#This Row],[Code]],'Code Véhicule'!$A$4:$C$185,3,0))</f>
        <v>MAN</v>
      </c>
      <c r="E70" s="36" t="str">
        <f>IF(ISNA(VLOOKUP(Tableau13[[#This Row],[Code]],'Code Véhicule'!$A$4:$D$185,4,0))," ",VLOOKUP(Tableau13[[#This Row],[Code]],'Code Véhicule'!$A$4:$D$185,4,0))</f>
        <v xml:space="preserve">28659-D-1 </v>
      </c>
      <c r="F70" s="36"/>
      <c r="G70" s="38" t="s">
        <v>327</v>
      </c>
      <c r="H70" s="38"/>
      <c r="I70" s="36" t="s">
        <v>304</v>
      </c>
      <c r="J70" s="43" t="s">
        <v>351</v>
      </c>
      <c r="K70" s="36"/>
      <c r="L70" s="40"/>
      <c r="M70" s="36"/>
      <c r="N70" s="35">
        <v>43812</v>
      </c>
      <c r="O70" s="38"/>
      <c r="P70" s="38"/>
      <c r="Q70" s="176" t="e">
        <f>MONTH([1]!Tableau13[[#This Row],[Date début]])</f>
        <v>#REF!</v>
      </c>
      <c r="R70" s="180" t="e">
        <f>YEAR([1]!Tableau13[[#This Row],[Date début]])</f>
        <v>#REF!</v>
      </c>
    </row>
    <row r="71" spans="1:18" ht="15.75" customHeight="1">
      <c r="A71" s="35">
        <v>43812</v>
      </c>
      <c r="B71" s="36">
        <v>428</v>
      </c>
      <c r="C71" s="37" t="str">
        <f>IF(ISNA(VLOOKUP(Tableau13[[#This Row],[Code]],'Code Véhicule'!$A$4:$C$185,2,0)),"",VLOOKUP(Tableau13[[#This Row],[Code]],'Code Véhicule'!$A$4:$C$185,2,0))</f>
        <v>Chariot elevateur</v>
      </c>
      <c r="D71" s="38" t="str">
        <f>IF(ISNA(VLOOKUP(Tableau13[[#This Row],[Code]],'Code Véhicule'!$A$4:$C$185,3,0)),"",VLOOKUP(Tableau13[[#This Row],[Code]],'Code Véhicule'!$A$4:$C$185,3,0))</f>
        <v>Linde H30</v>
      </c>
      <c r="E71" s="36" t="str">
        <f>IF(ISNA(VLOOKUP(Tableau13[[#This Row],[Code]],'Code Véhicule'!$A$4:$D$185,4,0))," ",VLOOKUP(Tableau13[[#This Row],[Code]],'Code Véhicule'!$A$4:$D$185,4,0))</f>
        <v>-</v>
      </c>
      <c r="F71" s="36">
        <v>22181</v>
      </c>
      <c r="G71" s="38" t="s">
        <v>389</v>
      </c>
      <c r="H71" s="38"/>
      <c r="I71" s="36" t="s">
        <v>322</v>
      </c>
      <c r="J71" s="43" t="s">
        <v>371</v>
      </c>
      <c r="K71" s="36"/>
      <c r="L71" s="40"/>
      <c r="M71" s="36"/>
      <c r="N71" s="35">
        <v>43812</v>
      </c>
      <c r="O71" s="38"/>
      <c r="P71" s="38"/>
      <c r="Q71" s="176" t="e">
        <f>MONTH([1]!Tableau13[[#This Row],[Date début]])</f>
        <v>#REF!</v>
      </c>
      <c r="R71" s="180" t="e">
        <f>YEAR([1]!Tableau13[[#This Row],[Date début]])</f>
        <v>#REF!</v>
      </c>
    </row>
    <row r="72" spans="1:18" ht="15.75" customHeight="1">
      <c r="A72" s="35">
        <v>43814</v>
      </c>
      <c r="B72" s="36">
        <v>481</v>
      </c>
      <c r="C72" s="37" t="str">
        <f>IF(ISNA(VLOOKUP(Tableau13[[#This Row],[Code]],'Code Véhicule'!$A$4:$C$185,2,0)),"",VLOOKUP(Tableau13[[#This Row],[Code]],'Code Véhicule'!$A$4:$C$185,2,0))</f>
        <v>Camion</v>
      </c>
      <c r="D72" s="38" t="str">
        <f>IF(ISNA(VLOOKUP(Tableau13[[#This Row],[Code]],'Code Véhicule'!$A$4:$C$185,3,0)),"",VLOOKUP(Tableau13[[#This Row],[Code]],'Code Véhicule'!$A$4:$C$185,3,0))</f>
        <v>VOLVO</v>
      </c>
      <c r="E72" s="36" t="str">
        <f>IF(ISNA(VLOOKUP(Tableau13[[#This Row],[Code]],'Code Véhicule'!$A$4:$D$185,4,0))," ",VLOOKUP(Tableau13[[#This Row],[Code]],'Code Véhicule'!$A$4:$D$185,4,0))</f>
        <v>22300-A-73</v>
      </c>
      <c r="F72" s="36"/>
      <c r="G72" s="38" t="s">
        <v>393</v>
      </c>
      <c r="H72" s="38"/>
      <c r="I72" s="36" t="s">
        <v>302</v>
      </c>
      <c r="J72" s="43" t="s">
        <v>354</v>
      </c>
      <c r="K72" s="36"/>
      <c r="L72" s="40"/>
      <c r="M72" s="36"/>
      <c r="N72" s="35">
        <v>43814</v>
      </c>
      <c r="O72" s="38"/>
      <c r="P72" s="38"/>
      <c r="Q72" s="176" t="e">
        <f>MONTH([1]!Tableau13[[#This Row],[Date début]])</f>
        <v>#REF!</v>
      </c>
      <c r="R72" s="180" t="e">
        <f>YEAR([1]!Tableau13[[#This Row],[Date début]])</f>
        <v>#REF!</v>
      </c>
    </row>
    <row r="73" spans="1:18">
      <c r="A73" s="35">
        <v>43815</v>
      </c>
      <c r="B73" s="36">
        <v>471</v>
      </c>
      <c r="C73" s="37" t="str">
        <f>IF(ISNA(VLOOKUP(Tableau13[[#This Row],[Code]],'Code Véhicule'!$A$4:$C$185,2,0)),"",VLOOKUP(Tableau13[[#This Row],[Code]],'Code Véhicule'!$A$4:$C$185,2,0))</f>
        <v>Bus de transport</v>
      </c>
      <c r="D73" s="38" t="str">
        <f>IF(ISNA(VLOOKUP(Tableau13[[#This Row],[Code]],'Code Véhicule'!$A$4:$C$185,3,0)),"",VLOOKUP(Tableau13[[#This Row],[Code]],'Code Véhicule'!$A$4:$C$185,3,0))</f>
        <v xml:space="preserve">Hyundai County </v>
      </c>
      <c r="E73" s="36" t="str">
        <f>IF(ISNA(VLOOKUP(Tableau13[[#This Row],[Code]],'Code Véhicule'!$A$4:$D$185,4,0))," ",VLOOKUP(Tableau13[[#This Row],[Code]],'Code Véhicule'!$A$4:$D$185,4,0))</f>
        <v>18516-A-73</v>
      </c>
      <c r="F73" s="36"/>
      <c r="G73" s="38" t="s">
        <v>353</v>
      </c>
      <c r="H73" s="38"/>
      <c r="I73" s="36" t="s">
        <v>322</v>
      </c>
      <c r="J73" s="43" t="s">
        <v>332</v>
      </c>
      <c r="K73" s="36"/>
      <c r="L73" s="40"/>
      <c r="M73" s="36"/>
      <c r="N73" s="35">
        <v>43815</v>
      </c>
      <c r="O73" s="38"/>
      <c r="P73" s="38"/>
      <c r="Q73" s="176" t="e">
        <f>MONTH([1]!Tableau13[[#This Row],[Date début]])</f>
        <v>#REF!</v>
      </c>
      <c r="R73" s="180" t="e">
        <f>YEAR([1]!Tableau13[[#This Row],[Date début]])</f>
        <v>#REF!</v>
      </c>
    </row>
    <row r="74" spans="1:18" ht="15.75" customHeight="1">
      <c r="A74" s="35">
        <v>43815</v>
      </c>
      <c r="B74" s="36">
        <v>480</v>
      </c>
      <c r="C74" s="37" t="str">
        <f>IF(ISNA(VLOOKUP(Tableau13[[#This Row],[Code]],'Code Véhicule'!$A$4:$C$185,2,0)),"",VLOOKUP(Tableau13[[#This Row],[Code]],'Code Véhicule'!$A$4:$C$185,2,0))</f>
        <v>Camion</v>
      </c>
      <c r="D74" s="38" t="str">
        <f>IF(ISNA(VLOOKUP(Tableau13[[#This Row],[Code]],'Code Véhicule'!$A$4:$C$185,3,0)),"",VLOOKUP(Tableau13[[#This Row],[Code]],'Code Véhicule'!$A$4:$C$185,3,0))</f>
        <v>VOLVO</v>
      </c>
      <c r="E74" s="36" t="str">
        <f>IF(ISNA(VLOOKUP(Tableau13[[#This Row],[Code]],'Code Véhicule'!$A$4:$D$185,4,0))," ",VLOOKUP(Tableau13[[#This Row],[Code]],'Code Véhicule'!$A$4:$D$185,4,0))</f>
        <v>22299-A-73</v>
      </c>
      <c r="F74" s="36"/>
      <c r="G74" s="38" t="s">
        <v>393</v>
      </c>
      <c r="H74" s="38"/>
      <c r="I74" s="36" t="s">
        <v>302</v>
      </c>
      <c r="J74" s="43" t="s">
        <v>354</v>
      </c>
      <c r="K74" s="36"/>
      <c r="L74" s="40"/>
      <c r="M74" s="36"/>
      <c r="N74" s="35">
        <v>43815</v>
      </c>
      <c r="O74" s="38"/>
      <c r="P74" s="38"/>
      <c r="Q74" s="176" t="e">
        <f>MONTH([1]!Tableau13[[#This Row],[Date début]])</f>
        <v>#REF!</v>
      </c>
      <c r="R74" s="180" t="e">
        <f>YEAR([1]!Tableau13[[#This Row],[Date début]])</f>
        <v>#REF!</v>
      </c>
    </row>
    <row r="75" spans="1:18" ht="15.75" customHeight="1">
      <c r="A75" s="35">
        <v>43815</v>
      </c>
      <c r="B75" s="36">
        <v>434</v>
      </c>
      <c r="C75" s="37" t="str">
        <f>IF(ISNA(VLOOKUP(Tableau13[[#This Row],[Code]],'Code Véhicule'!$A$4:$C$185,2,0)),"",VLOOKUP(Tableau13[[#This Row],[Code]],'Code Véhicule'!$A$4:$C$185,2,0))</f>
        <v>Chariot elevateur</v>
      </c>
      <c r="D75" s="38" t="str">
        <f>IF(ISNA(VLOOKUP(Tableau13[[#This Row],[Code]],'Code Véhicule'!$A$4:$C$185,3,0)),"",VLOOKUP(Tableau13[[#This Row],[Code]],'Code Véhicule'!$A$4:$C$185,3,0))</f>
        <v>Linde H30D</v>
      </c>
      <c r="E75" s="36" t="str">
        <f>IF(ISNA(VLOOKUP(Tableau13[[#This Row],[Code]],'Code Véhicule'!$A$4:$D$185,4,0))," ",VLOOKUP(Tableau13[[#This Row],[Code]],'Code Véhicule'!$A$4:$D$185,4,0))</f>
        <v>-</v>
      </c>
      <c r="F75" s="36">
        <v>22182</v>
      </c>
      <c r="G75" s="38" t="s">
        <v>389</v>
      </c>
      <c r="H75" s="38"/>
      <c r="I75" s="36" t="s">
        <v>304</v>
      </c>
      <c r="J75" s="43" t="s">
        <v>372</v>
      </c>
      <c r="K75" s="36"/>
      <c r="L75" s="40"/>
      <c r="M75" s="36"/>
      <c r="N75" s="35">
        <v>43815</v>
      </c>
      <c r="O75" s="38"/>
      <c r="P75" s="38"/>
      <c r="Q75" s="176" t="e">
        <f>MONTH([1]!Tableau13[[#This Row],[Date début]])</f>
        <v>#REF!</v>
      </c>
      <c r="R75" s="180" t="e">
        <f>YEAR([1]!Tableau13[[#This Row],[Date début]])</f>
        <v>#REF!</v>
      </c>
    </row>
    <row r="76" spans="1:18" ht="15.75" customHeight="1">
      <c r="A76" s="35">
        <v>43815</v>
      </c>
      <c r="B76" s="36">
        <v>428</v>
      </c>
      <c r="C76" s="37" t="str">
        <f>IF(ISNA(VLOOKUP(Tableau13[[#This Row],[Code]],'Code Véhicule'!$A$4:$C$185,2,0)),"",VLOOKUP(Tableau13[[#This Row],[Code]],'Code Véhicule'!$A$4:$C$185,2,0))</f>
        <v>Chariot elevateur</v>
      </c>
      <c r="D76" s="38" t="str">
        <f>IF(ISNA(VLOOKUP(Tableau13[[#This Row],[Code]],'Code Véhicule'!$A$4:$C$185,3,0)),"",VLOOKUP(Tableau13[[#This Row],[Code]],'Code Véhicule'!$A$4:$C$185,3,0))</f>
        <v>Linde H30</v>
      </c>
      <c r="E76" s="36" t="str">
        <f>IF(ISNA(VLOOKUP(Tableau13[[#This Row],[Code]],'Code Véhicule'!$A$4:$D$185,4,0))," ",VLOOKUP(Tableau13[[#This Row],[Code]],'Code Véhicule'!$A$4:$D$185,4,0))</f>
        <v>-</v>
      </c>
      <c r="F76" s="36">
        <v>22183</v>
      </c>
      <c r="G76" s="38" t="s">
        <v>389</v>
      </c>
      <c r="H76" s="38"/>
      <c r="I76" s="36" t="s">
        <v>304</v>
      </c>
      <c r="J76" s="43" t="s">
        <v>373</v>
      </c>
      <c r="K76" s="36"/>
      <c r="L76" s="40"/>
      <c r="M76" s="36"/>
      <c r="N76" s="35">
        <v>43815</v>
      </c>
      <c r="O76" s="38"/>
      <c r="P76" s="38"/>
      <c r="Q76" s="176" t="e">
        <f>MONTH([1]!Tableau13[[#This Row],[Date début]])</f>
        <v>#REF!</v>
      </c>
      <c r="R76" s="180" t="e">
        <f>YEAR([1]!Tableau13[[#This Row],[Date début]])</f>
        <v>#REF!</v>
      </c>
    </row>
    <row r="77" spans="1:18" ht="15.75" customHeight="1">
      <c r="A77" s="35">
        <v>43817</v>
      </c>
      <c r="B77" s="36">
        <v>439</v>
      </c>
      <c r="C77" s="37" t="str">
        <f>IF(ISNA(VLOOKUP(Tableau13[[#This Row],[Code]],'Code Véhicule'!$A$4:$C$185,2,0)),"",VLOOKUP(Tableau13[[#This Row],[Code]],'Code Véhicule'!$A$4:$C$185,2,0))</f>
        <v>Semi remorque</v>
      </c>
      <c r="D77" s="38" t="str">
        <f>IF(ISNA(VLOOKUP(Tableau13[[#This Row],[Code]],'Code Véhicule'!$A$4:$C$185,3,0)),"",VLOOKUP(Tableau13[[#This Row],[Code]],'Code Véhicule'!$A$4:$C$185,3,0))</f>
        <v>VOLVO</v>
      </c>
      <c r="E77" s="36" t="str">
        <f>IF(ISNA(VLOOKUP(Tableau13[[#This Row],[Code]],'Code Véhicule'!$A$4:$D$185,4,0))," ",VLOOKUP(Tableau13[[#This Row],[Code]],'Code Véhicule'!$A$4:$D$185,4,0))</f>
        <v xml:space="preserve">17886-A-73 </v>
      </c>
      <c r="F77" s="36"/>
      <c r="G77" s="38" t="s">
        <v>389</v>
      </c>
      <c r="H77" s="38"/>
      <c r="I77" s="36" t="s">
        <v>304</v>
      </c>
      <c r="J77" s="43" t="s">
        <v>340</v>
      </c>
      <c r="K77" s="36"/>
      <c r="L77" s="40"/>
      <c r="M77" s="36"/>
      <c r="N77" s="35">
        <v>43817</v>
      </c>
      <c r="O77" s="38"/>
      <c r="P77" s="38"/>
      <c r="Q77" s="176" t="e">
        <f>MONTH([1]!Tableau13[[#This Row],[Date début]])</f>
        <v>#REF!</v>
      </c>
      <c r="R77" s="180" t="e">
        <f>YEAR([1]!Tableau13[[#This Row],[Date début]])</f>
        <v>#REF!</v>
      </c>
    </row>
    <row r="78" spans="1:18" ht="225" customHeight="1">
      <c r="A78" s="35">
        <v>43817</v>
      </c>
      <c r="B78" s="36"/>
      <c r="C78" s="37" t="s">
        <v>429</v>
      </c>
      <c r="D78" s="38" t="s">
        <v>472</v>
      </c>
      <c r="E78" s="36" t="s">
        <v>473</v>
      </c>
      <c r="F78" s="36">
        <v>22488</v>
      </c>
      <c r="G78" s="38" t="s">
        <v>388</v>
      </c>
      <c r="H78" s="38"/>
      <c r="I78" s="36" t="s">
        <v>304</v>
      </c>
      <c r="J78" s="43" t="s">
        <v>1133</v>
      </c>
      <c r="K78" s="36" t="s">
        <v>474</v>
      </c>
      <c r="L78" s="40">
        <v>8550</v>
      </c>
      <c r="M78" s="36" t="s">
        <v>475</v>
      </c>
      <c r="N78" s="41">
        <v>43883</v>
      </c>
      <c r="O78" s="38"/>
      <c r="P78" s="38"/>
      <c r="Q78" s="176" t="e">
        <f>MONTH([1]!Tableau13[[#This Row],[Date début]])</f>
        <v>#REF!</v>
      </c>
      <c r="R78" s="180" t="e">
        <f>YEAR([1]!Tableau13[[#This Row],[Date début]])</f>
        <v>#REF!</v>
      </c>
    </row>
    <row r="79" spans="1:18" ht="30" customHeight="1">
      <c r="A79" s="35">
        <v>43818</v>
      </c>
      <c r="B79" s="36">
        <v>7</v>
      </c>
      <c r="C79" s="37" t="str">
        <f>IF(ISNA(VLOOKUP(Tableau13[[#This Row],[Code]],'Code Véhicule'!$A$4:$C$185,2,0)),"",VLOOKUP(Tableau13[[#This Row],[Code]],'Code Véhicule'!$A$4:$C$185,2,0))</f>
        <v>Voiture de fonction</v>
      </c>
      <c r="D79" s="38" t="str">
        <f>IF(ISNA(VLOOKUP(Tableau13[[#This Row],[Code]],'Code Véhicule'!$A$4:$C$185,3,0)),"",VLOOKUP(Tableau13[[#This Row],[Code]],'Code Véhicule'!$A$4:$C$185,3,0))</f>
        <v>Berlingo</v>
      </c>
      <c r="E79" s="36" t="str">
        <f>IF(ISNA(VLOOKUP(Tableau13[[#This Row],[Code]],'Code Véhicule'!$A$4:$D$185,4,0))," ",VLOOKUP(Tableau13[[#This Row],[Code]],'Code Véhicule'!$A$4:$D$185,4,0))</f>
        <v>50313-A-6</v>
      </c>
      <c r="F79" s="36"/>
      <c r="G79" s="38" t="s">
        <v>393</v>
      </c>
      <c r="H79" s="38"/>
      <c r="I79" s="36" t="s">
        <v>302</v>
      </c>
      <c r="J79" s="43" t="s">
        <v>354</v>
      </c>
      <c r="K79" s="36"/>
      <c r="L79" s="40"/>
      <c r="M79" s="36"/>
      <c r="N79" s="35">
        <v>43818</v>
      </c>
      <c r="O79" s="38"/>
      <c r="P79" s="38"/>
      <c r="Q79" s="176" t="e">
        <f>MONTH([1]!Tableau13[[#This Row],[Date début]])</f>
        <v>#REF!</v>
      </c>
      <c r="R79" s="180" t="e">
        <f>YEAR([1]!Tableau13[[#This Row],[Date début]])</f>
        <v>#REF!</v>
      </c>
    </row>
    <row r="80" spans="1:18" ht="15.75" customHeight="1">
      <c r="A80" s="35">
        <v>43822</v>
      </c>
      <c r="B80" s="36">
        <v>401</v>
      </c>
      <c r="C80" s="37" t="str">
        <f>IF(ISNA(VLOOKUP(Tableau13[[#This Row],[Code]],'Code Véhicule'!$A$4:$C$185,2,0)),"",VLOOKUP(Tableau13[[#This Row],[Code]],'Code Véhicule'!$A$4:$C$185,2,0))</f>
        <v>Camion</v>
      </c>
      <c r="D80" s="38" t="str">
        <f>IF(ISNA(VLOOKUP(Tableau13[[#This Row],[Code]],'Code Véhicule'!$A$4:$C$185,3,0)),"",VLOOKUP(Tableau13[[#This Row],[Code]],'Code Véhicule'!$A$4:$C$185,3,0))</f>
        <v>ISUZU</v>
      </c>
      <c r="E80" s="36" t="str">
        <f>IF(ISNA(VLOOKUP(Tableau13[[#This Row],[Code]],'Code Véhicule'!$A$4:$D$185,4,0))," ",VLOOKUP(Tableau13[[#This Row],[Code]],'Code Véhicule'!$A$4:$D$185,4,0))</f>
        <v>26128-A-8</v>
      </c>
      <c r="F80" s="36"/>
      <c r="G80" s="38" t="s">
        <v>390</v>
      </c>
      <c r="H80" s="38"/>
      <c r="I80" s="36" t="s">
        <v>304</v>
      </c>
      <c r="J80" s="43" t="s">
        <v>355</v>
      </c>
      <c r="K80" s="36"/>
      <c r="L80" s="40"/>
      <c r="M80" s="36"/>
      <c r="N80" s="35">
        <v>43822</v>
      </c>
      <c r="O80" s="38"/>
      <c r="P80" s="38"/>
      <c r="Q80" s="176" t="e">
        <f>MONTH([1]!Tableau13[[#This Row],[Date début]])</f>
        <v>#REF!</v>
      </c>
      <c r="R80" s="180" t="e">
        <f>YEAR([1]!Tableau13[[#This Row],[Date début]])</f>
        <v>#REF!</v>
      </c>
    </row>
    <row r="81" spans="1:18" ht="15.75" customHeight="1">
      <c r="A81" s="35">
        <v>43822</v>
      </c>
      <c r="B81" s="36">
        <v>409</v>
      </c>
      <c r="C81" s="37" t="str">
        <f>IF(ISNA(VLOOKUP(Tableau13[[#This Row],[Code]],'Code Véhicule'!$A$4:$C$185,2,0)),"",VLOOKUP(Tableau13[[#This Row],[Code]],'Code Véhicule'!$A$4:$C$185,2,0))</f>
        <v>Camion</v>
      </c>
      <c r="D81" s="38" t="str">
        <f>IF(ISNA(VLOOKUP(Tableau13[[#This Row],[Code]],'Code Véhicule'!$A$4:$C$185,3,0)),"",VLOOKUP(Tableau13[[#This Row],[Code]],'Code Véhicule'!$A$4:$C$185,3,0))</f>
        <v>Mitsubishi</v>
      </c>
      <c r="E81" s="36" t="str">
        <f>IF(ISNA(VLOOKUP(Tableau13[[#This Row],[Code]],'Code Véhicule'!$A$4:$D$185,4,0))," ",VLOOKUP(Tableau13[[#This Row],[Code]],'Code Véhicule'!$A$4:$D$185,4,0))</f>
        <v xml:space="preserve">4969-A-73 </v>
      </c>
      <c r="F81" s="36"/>
      <c r="G81" s="38" t="s">
        <v>393</v>
      </c>
      <c r="H81" s="38"/>
      <c r="I81" s="36"/>
      <c r="J81" s="39" t="s">
        <v>315</v>
      </c>
      <c r="K81" s="36"/>
      <c r="L81" s="40"/>
      <c r="M81" s="40" t="str">
        <f>IF(ISBLANK(Tableau13[[#This Row],[N BS]]),"",(Tableau13[[#This Row],[N BS]]-Tableau13[[#This Row],[Date début]]))</f>
        <v/>
      </c>
      <c r="N81" s="35">
        <v>43822</v>
      </c>
      <c r="O81" s="45"/>
      <c r="P81" s="45"/>
      <c r="Q81" s="176" t="e">
        <f>MONTH([1]!Tableau13[[#This Row],[Date début]])</f>
        <v>#REF!</v>
      </c>
      <c r="R81" s="180" t="e">
        <f>YEAR([1]!Tableau13[[#This Row],[Date début]])</f>
        <v>#REF!</v>
      </c>
    </row>
    <row r="82" spans="1:18" ht="15.75" customHeight="1">
      <c r="A82" s="35">
        <v>43822</v>
      </c>
      <c r="B82" s="36">
        <v>429</v>
      </c>
      <c r="C82" s="37" t="str">
        <f>IF(ISNA(VLOOKUP(Tableau13[[#This Row],[Code]],'Code Véhicule'!$A$4:$C$185,2,0)),"",VLOOKUP(Tableau13[[#This Row],[Code]],'Code Véhicule'!$A$4:$C$185,2,0))</f>
        <v>Chariot elevateur</v>
      </c>
      <c r="D82" s="38" t="str">
        <f>IF(ISNA(VLOOKUP(Tableau13[[#This Row],[Code]],'Code Véhicule'!$A$4:$C$185,3,0)),"",VLOOKUP(Tableau13[[#This Row],[Code]],'Code Véhicule'!$A$4:$C$185,3,0))</f>
        <v>Fenwick HD30</v>
      </c>
      <c r="E82" s="36" t="str">
        <f>IF(ISNA(VLOOKUP(Tableau13[[#This Row],[Code]],'Code Véhicule'!$A$4:$D$185,4,0))," ",VLOOKUP(Tableau13[[#This Row],[Code]],'Code Véhicule'!$A$4:$D$185,4,0))</f>
        <v>-</v>
      </c>
      <c r="F82" s="36">
        <v>22187</v>
      </c>
      <c r="G82" s="38" t="s">
        <v>393</v>
      </c>
      <c r="H82" s="38"/>
      <c r="I82" s="36" t="s">
        <v>322</v>
      </c>
      <c r="J82" s="43" t="s">
        <v>364</v>
      </c>
      <c r="K82" s="36"/>
      <c r="L82" s="40"/>
      <c r="M82" s="36"/>
      <c r="N82" s="35">
        <v>43822</v>
      </c>
      <c r="O82" s="38"/>
      <c r="P82" s="38"/>
      <c r="Q82" s="176" t="e">
        <f>MONTH([1]!Tableau13[[#This Row],[Date début]])</f>
        <v>#REF!</v>
      </c>
      <c r="R82" s="180" t="e">
        <f>YEAR([1]!Tableau13[[#This Row],[Date début]])</f>
        <v>#REF!</v>
      </c>
    </row>
    <row r="83" spans="1:18" ht="15.75" customHeight="1">
      <c r="A83" s="35">
        <v>43823</v>
      </c>
      <c r="B83" s="36">
        <v>477</v>
      </c>
      <c r="C83" s="37" t="str">
        <f>IF(ISNA(VLOOKUP(Tableau13[[#This Row],[Code]],'Code Véhicule'!$A$4:$C$185,2,0)),"",VLOOKUP(Tableau13[[#This Row],[Code]],'Code Véhicule'!$A$4:$C$185,2,0))</f>
        <v>Chariot elevateur</v>
      </c>
      <c r="D83" s="38" t="str">
        <f>IF(ISNA(VLOOKUP(Tableau13[[#This Row],[Code]],'Code Véhicule'!$A$4:$C$185,3,0)),"",VLOOKUP(Tableau13[[#This Row],[Code]],'Code Véhicule'!$A$4:$C$185,3,0))</f>
        <v>Linde H30D</v>
      </c>
      <c r="E83" s="36" t="str">
        <f>IF(ISNA(VLOOKUP(Tableau13[[#This Row],[Code]],'Code Véhicule'!$A$4:$D$185,4,0))," ",VLOOKUP(Tableau13[[#This Row],[Code]],'Code Véhicule'!$A$4:$D$185,4,0))</f>
        <v>-</v>
      </c>
      <c r="F83" s="36">
        <v>22185</v>
      </c>
      <c r="G83" s="38" t="s">
        <v>393</v>
      </c>
      <c r="H83" s="38"/>
      <c r="I83" s="36" t="s">
        <v>304</v>
      </c>
      <c r="J83" s="43" t="s">
        <v>315</v>
      </c>
      <c r="K83" s="36"/>
      <c r="L83" s="40"/>
      <c r="M83" s="36"/>
      <c r="N83" s="35">
        <v>43823</v>
      </c>
      <c r="O83" s="38"/>
      <c r="P83" s="38"/>
      <c r="Q83" s="176" t="e">
        <f>MONTH([1]!Tableau13[[#This Row],[Date début]])</f>
        <v>#REF!</v>
      </c>
      <c r="R83" s="180" t="e">
        <f>YEAR([1]!Tableau13[[#This Row],[Date début]])</f>
        <v>#REF!</v>
      </c>
    </row>
    <row r="84" spans="1:18" ht="15.75" customHeight="1">
      <c r="A84" s="35">
        <v>43824</v>
      </c>
      <c r="B84" s="36">
        <v>480</v>
      </c>
      <c r="C84" s="37" t="str">
        <f>IF(ISNA(VLOOKUP(Tableau13[[#This Row],[Code]],'Code Véhicule'!$A$4:$C$185,2,0)),"",VLOOKUP(Tableau13[[#This Row],[Code]],'Code Véhicule'!$A$4:$C$185,2,0))</f>
        <v>Camion</v>
      </c>
      <c r="D84" s="38" t="str">
        <f>IF(ISNA(VLOOKUP(Tableau13[[#This Row],[Code]],'Code Véhicule'!$A$4:$C$185,3,0)),"",VLOOKUP(Tableau13[[#This Row],[Code]],'Code Véhicule'!$A$4:$C$185,3,0))</f>
        <v>VOLVO</v>
      </c>
      <c r="E84" s="36" t="str">
        <f>IF(ISNA(VLOOKUP(Tableau13[[#This Row],[Code]],'Code Véhicule'!$A$4:$D$185,4,0))," ",VLOOKUP(Tableau13[[#This Row],[Code]],'Code Véhicule'!$A$4:$D$185,4,0))</f>
        <v>22299-A-73</v>
      </c>
      <c r="F84" s="36"/>
      <c r="G84" s="38" t="s">
        <v>389</v>
      </c>
      <c r="H84" s="38"/>
      <c r="I84" s="36" t="s">
        <v>304</v>
      </c>
      <c r="J84" s="43" t="s">
        <v>347</v>
      </c>
      <c r="K84" s="36"/>
      <c r="L84" s="40"/>
      <c r="M84" s="36"/>
      <c r="N84" s="35">
        <v>43824</v>
      </c>
      <c r="O84" s="38"/>
      <c r="P84" s="38"/>
      <c r="Q84" s="176" t="e">
        <f>MONTH([1]!Tableau13[[#This Row],[Date début]])</f>
        <v>#REF!</v>
      </c>
      <c r="R84" s="180" t="e">
        <f>YEAR([1]!Tableau13[[#This Row],[Date début]])</f>
        <v>#REF!</v>
      </c>
    </row>
    <row r="85" spans="1:18" ht="15.75" customHeight="1">
      <c r="A85" s="35">
        <v>43824</v>
      </c>
      <c r="B85" s="36">
        <v>472</v>
      </c>
      <c r="C85" s="37" t="str">
        <f>IF(ISNA(VLOOKUP(Tableau13[[#This Row],[Code]],'Code Véhicule'!$A$4:$C$185,2,0)),"",VLOOKUP(Tableau13[[#This Row],[Code]],'Code Véhicule'!$A$4:$C$185,2,0))</f>
        <v>Chariot elevateur</v>
      </c>
      <c r="D85" s="38" t="str">
        <f>IF(ISNA(VLOOKUP(Tableau13[[#This Row],[Code]],'Code Véhicule'!$A$4:$C$185,3,0)),"",VLOOKUP(Tableau13[[#This Row],[Code]],'Code Véhicule'!$A$4:$C$185,3,0))</f>
        <v>Linde H25d</v>
      </c>
      <c r="E85" s="36" t="str">
        <f>IF(ISNA(VLOOKUP(Tableau13[[#This Row],[Code]],'Code Véhicule'!$A$4:$D$185,4,0))," ",VLOOKUP(Tableau13[[#This Row],[Code]],'Code Véhicule'!$A$4:$D$185,4,0))</f>
        <v>-</v>
      </c>
      <c r="F85" s="36">
        <v>22186</v>
      </c>
      <c r="G85" s="38" t="s">
        <v>393</v>
      </c>
      <c r="H85" s="38"/>
      <c r="I85" s="36" t="s">
        <v>304</v>
      </c>
      <c r="J85" s="43" t="s">
        <v>315</v>
      </c>
      <c r="K85" s="36"/>
      <c r="L85" s="40"/>
      <c r="M85" s="36"/>
      <c r="N85" s="35">
        <v>43824</v>
      </c>
      <c r="O85" s="38"/>
      <c r="P85" s="38"/>
      <c r="Q85" s="176" t="e">
        <f>MONTH([1]!Tableau13[[#This Row],[Date début]])</f>
        <v>#REF!</v>
      </c>
      <c r="R85" s="180" t="e">
        <f>YEAR([1]!Tableau13[[#This Row],[Date début]])</f>
        <v>#REF!</v>
      </c>
    </row>
    <row r="86" spans="1:18" ht="15.75" customHeight="1">
      <c r="A86" s="35">
        <v>43826</v>
      </c>
      <c r="B86" s="36">
        <v>413</v>
      </c>
      <c r="C86" s="37" t="str">
        <f>IF(ISNA(VLOOKUP(Tableau13[[#This Row],[Code]],'Code Véhicule'!$A$4:$C$185,2,0)),"",VLOOKUP(Tableau13[[#This Row],[Code]],'Code Véhicule'!$A$4:$C$185,2,0))</f>
        <v>Chargeur</v>
      </c>
      <c r="D86" s="38" t="str">
        <f>IF(ISNA(VLOOKUP(Tableau13[[#This Row],[Code]],'Code Véhicule'!$A$4:$C$185,3,0)),"",VLOOKUP(Tableau13[[#This Row],[Code]],'Code Véhicule'!$A$4:$C$185,3,0))</f>
        <v>Caterpillar</v>
      </c>
      <c r="E86" s="36" t="str">
        <f>IF(ISNA(VLOOKUP(Tableau13[[#This Row],[Code]],'Code Véhicule'!$A$4:$D$185,4,0))," ",VLOOKUP(Tableau13[[#This Row],[Code]],'Code Véhicule'!$A$4:$D$185,4,0))</f>
        <v>-</v>
      </c>
      <c r="F86" s="36">
        <v>22188</v>
      </c>
      <c r="G86" s="38" t="s">
        <v>393</v>
      </c>
      <c r="H86" s="38"/>
      <c r="I86" s="36" t="s">
        <v>322</v>
      </c>
      <c r="J86" s="43" t="s">
        <v>357</v>
      </c>
      <c r="K86" s="36"/>
      <c r="L86" s="40"/>
      <c r="M86" s="36"/>
      <c r="N86" s="35">
        <v>43826</v>
      </c>
      <c r="O86" s="38"/>
      <c r="P86" s="38"/>
      <c r="Q86" s="176" t="e">
        <f>MONTH([1]!Tableau13[[#This Row],[Date début]])</f>
        <v>#REF!</v>
      </c>
      <c r="R86" s="180" t="e">
        <f>YEAR([1]!Tableau13[[#This Row],[Date début]])</f>
        <v>#REF!</v>
      </c>
    </row>
    <row r="87" spans="1:18" ht="15.75" customHeight="1">
      <c r="A87" s="35">
        <v>43829</v>
      </c>
      <c r="B87" s="36">
        <v>428</v>
      </c>
      <c r="C87" s="37" t="str">
        <f>IF(ISNA(VLOOKUP(Tableau13[[#This Row],[Code]],'Code Véhicule'!$A$4:$C$185,2,0)),"",VLOOKUP(Tableau13[[#This Row],[Code]],'Code Véhicule'!$A$4:$C$185,2,0))</f>
        <v>Chariot elevateur</v>
      </c>
      <c r="D87" s="38" t="str">
        <f>IF(ISNA(VLOOKUP(Tableau13[[#This Row],[Code]],'Code Véhicule'!$A$4:$C$185,3,0)),"",VLOOKUP(Tableau13[[#This Row],[Code]],'Code Véhicule'!$A$4:$C$185,3,0))</f>
        <v>Linde H30</v>
      </c>
      <c r="E87" s="36" t="str">
        <f>IF(ISNA(VLOOKUP(Tableau13[[#This Row],[Code]],'Code Véhicule'!$A$4:$D$185,4,0))," ",VLOOKUP(Tableau13[[#This Row],[Code]],'Code Véhicule'!$A$4:$D$185,4,0))</f>
        <v>-</v>
      </c>
      <c r="F87" s="36">
        <v>22189</v>
      </c>
      <c r="G87" s="38" t="s">
        <v>393</v>
      </c>
      <c r="H87" s="38"/>
      <c r="I87" s="36" t="s">
        <v>322</v>
      </c>
      <c r="J87" s="43" t="s">
        <v>364</v>
      </c>
      <c r="K87" s="36"/>
      <c r="L87" s="40"/>
      <c r="M87" s="36"/>
      <c r="N87" s="35">
        <v>43829</v>
      </c>
      <c r="O87" s="38"/>
      <c r="P87" s="38"/>
      <c r="Q87" s="176" t="e">
        <f>MONTH([1]!Tableau13[[#This Row],[Date début]])</f>
        <v>#REF!</v>
      </c>
      <c r="R87" s="180" t="e">
        <f>YEAR([1]!Tableau13[[#This Row],[Date début]])</f>
        <v>#REF!</v>
      </c>
    </row>
    <row r="88" spans="1:18" ht="60" customHeight="1">
      <c r="A88" s="35">
        <v>43831</v>
      </c>
      <c r="B88" s="36">
        <v>407</v>
      </c>
      <c r="C88" s="37" t="str">
        <f>IF(ISNA(VLOOKUP(Tableau13[[#This Row],[Code]],'Code Véhicule'!$A$4:$C$185,2,0)),"",VLOOKUP(Tableau13[[#This Row],[Code]],'Code Véhicule'!$A$4:$C$185,2,0))</f>
        <v>Semi remorque</v>
      </c>
      <c r="D88" s="38" t="str">
        <f>IF(ISNA(VLOOKUP(Tableau13[[#This Row],[Code]],'Code Véhicule'!$A$4:$C$185,3,0)),"",VLOOKUP(Tableau13[[#This Row],[Code]],'Code Véhicule'!$A$4:$C$185,3,0))</f>
        <v>MAN</v>
      </c>
      <c r="E88" s="36" t="str">
        <f>IF(ISNA(VLOOKUP(Tableau13[[#This Row],[Code]],'Code Véhicule'!$A$4:$D$185,4,0))," ",VLOOKUP(Tableau13[[#This Row],[Code]],'Code Véhicule'!$A$4:$D$185,4,0))</f>
        <v>706-A-73</v>
      </c>
      <c r="F88" s="36"/>
      <c r="G88" s="38" t="s">
        <v>401</v>
      </c>
      <c r="H88" s="38"/>
      <c r="I88" s="36" t="s">
        <v>304</v>
      </c>
      <c r="J88" s="43" t="s">
        <v>450</v>
      </c>
      <c r="K88" s="36" t="s">
        <v>637</v>
      </c>
      <c r="L88" s="40">
        <v>2850</v>
      </c>
      <c r="M88" s="36">
        <v>5180</v>
      </c>
      <c r="N88" s="35">
        <v>43839</v>
      </c>
      <c r="O88" s="38"/>
      <c r="P88" s="38"/>
      <c r="Q88" s="176" t="e">
        <f>MONTH([1]!Tableau13[[#This Row],[Date début]])</f>
        <v>#REF!</v>
      </c>
      <c r="R88" s="180" t="e">
        <f>YEAR([1]!Tableau13[[#This Row],[Date début]])</f>
        <v>#REF!</v>
      </c>
    </row>
    <row r="89" spans="1:18" ht="30" customHeight="1">
      <c r="A89" s="35">
        <v>43832</v>
      </c>
      <c r="B89" s="36">
        <v>426</v>
      </c>
      <c r="C89" s="37" t="str">
        <f>IF(ISNA(VLOOKUP(Tableau13[[#This Row],[Code]],'Code Véhicule'!$A$4:$C$185,2,0)),"",VLOOKUP(Tableau13[[#This Row],[Code]],'Code Véhicule'!$A$4:$C$185,2,0))</f>
        <v>Chariot elevateur</v>
      </c>
      <c r="D89" s="38" t="str">
        <f>IF(ISNA(VLOOKUP(Tableau13[[#This Row],[Code]],'Code Véhicule'!$A$4:$C$185,3,0)),"",VLOOKUP(Tableau13[[#This Row],[Code]],'Code Véhicule'!$A$4:$C$185,3,0))</f>
        <v>Manitou MC 30</v>
      </c>
      <c r="E89" s="36" t="str">
        <f>IF(ISNA(VLOOKUP(Tableau13[[#This Row],[Code]],'Code Véhicule'!$A$4:$D$185,4,0))," ",VLOOKUP(Tableau13[[#This Row],[Code]],'Code Véhicule'!$A$4:$D$185,4,0))</f>
        <v>-</v>
      </c>
      <c r="F89" s="36">
        <v>22190</v>
      </c>
      <c r="G89" s="38" t="s">
        <v>393</v>
      </c>
      <c r="H89" s="38"/>
      <c r="I89" s="36" t="s">
        <v>302</v>
      </c>
      <c r="J89" s="43" t="s">
        <v>375</v>
      </c>
      <c r="K89" s="36"/>
      <c r="L89" s="40"/>
      <c r="M89" s="36"/>
      <c r="N89" s="35">
        <v>43832</v>
      </c>
      <c r="O89" s="38"/>
      <c r="P89" s="38"/>
      <c r="Q89" s="176" t="e">
        <f>MONTH([1]!Tableau13[[#This Row],[Date début]])</f>
        <v>#REF!</v>
      </c>
      <c r="R89" s="180" t="e">
        <f>YEAR([1]!Tableau13[[#This Row],[Date début]])</f>
        <v>#REF!</v>
      </c>
    </row>
    <row r="90" spans="1:18" ht="60" customHeight="1">
      <c r="A90" s="35">
        <v>43832</v>
      </c>
      <c r="B90" s="36">
        <v>430</v>
      </c>
      <c r="C90" s="37" t="str">
        <f>IF(ISNA(VLOOKUP(Tableau13[[#This Row],[Code]],'Code Véhicule'!$A$4:$C$185,2,0)),"",VLOOKUP(Tableau13[[#This Row],[Code]],'Code Véhicule'!$A$4:$C$185,2,0))</f>
        <v>Chariot elevateur</v>
      </c>
      <c r="D90" s="38" t="str">
        <f>IF(ISNA(VLOOKUP(Tableau13[[#This Row],[Code]],'Code Véhicule'!$A$4:$C$185,3,0)),"",VLOOKUP(Tableau13[[#This Row],[Code]],'Code Véhicule'!$A$4:$C$185,3,0))</f>
        <v>Fenwick  H40</v>
      </c>
      <c r="E90" s="36" t="str">
        <f>IF(ISNA(VLOOKUP(Tableau13[[#This Row],[Code]],'Code Véhicule'!$A$4:$D$185,4,0))," ",VLOOKUP(Tableau13[[#This Row],[Code]],'Code Véhicule'!$A$4:$D$185,4,0))</f>
        <v>-</v>
      </c>
      <c r="F90" s="36">
        <v>22191</v>
      </c>
      <c r="G90" s="38" t="s">
        <v>393</v>
      </c>
      <c r="H90" s="38"/>
      <c r="I90" s="36" t="s">
        <v>302</v>
      </c>
      <c r="J90" s="43" t="s">
        <v>376</v>
      </c>
      <c r="K90" s="36"/>
      <c r="L90" s="40"/>
      <c r="M90" s="36"/>
      <c r="N90" s="35">
        <v>43832</v>
      </c>
      <c r="O90" s="38"/>
      <c r="P90" s="38"/>
      <c r="Q90" s="176" t="e">
        <f>MONTH([1]!Tableau13[[#This Row],[Date début]])</f>
        <v>#REF!</v>
      </c>
      <c r="R90" s="180" t="e">
        <f>YEAR([1]!Tableau13[[#This Row],[Date début]])</f>
        <v>#REF!</v>
      </c>
    </row>
    <row r="91" spans="1:18" ht="15.75" customHeight="1">
      <c r="A91" s="35">
        <v>43834</v>
      </c>
      <c r="B91" s="36">
        <v>438</v>
      </c>
      <c r="C91" s="37" t="str">
        <f>IF(ISNA(VLOOKUP(Tableau13[[#This Row],[Code]],'Code Véhicule'!$A$4:$C$185,2,0)),"",VLOOKUP(Tableau13[[#This Row],[Code]],'Code Véhicule'!$A$4:$C$185,2,0))</f>
        <v>Semi remorque</v>
      </c>
      <c r="D91" s="38" t="str">
        <f>IF(ISNA(VLOOKUP(Tableau13[[#This Row],[Code]],'Code Véhicule'!$A$4:$C$185,3,0)),"",VLOOKUP(Tableau13[[#This Row],[Code]],'Code Véhicule'!$A$4:$C$185,3,0))</f>
        <v>VOLVO</v>
      </c>
      <c r="E91" s="36" t="str">
        <f>IF(ISNA(VLOOKUP(Tableau13[[#This Row],[Code]],'Code Véhicule'!$A$4:$D$185,4,0))," ",VLOOKUP(Tableau13[[#This Row],[Code]],'Code Véhicule'!$A$4:$D$185,4,0))</f>
        <v xml:space="preserve">17885-A-73 </v>
      </c>
      <c r="F91" s="36"/>
      <c r="G91" s="38" t="s">
        <v>393</v>
      </c>
      <c r="H91" s="38"/>
      <c r="I91" s="36" t="s">
        <v>302</v>
      </c>
      <c r="J91" s="43" t="s">
        <v>354</v>
      </c>
      <c r="K91" s="36"/>
      <c r="L91" s="40"/>
      <c r="M91" s="36"/>
      <c r="N91" s="35">
        <v>43834</v>
      </c>
      <c r="O91" s="38"/>
      <c r="P91" s="38"/>
      <c r="Q91" s="176" t="e">
        <f>MONTH([1]!Tableau13[[#This Row],[Date début]])</f>
        <v>#REF!</v>
      </c>
      <c r="R91" s="180" t="e">
        <f>YEAR([1]!Tableau13[[#This Row],[Date début]])</f>
        <v>#REF!</v>
      </c>
    </row>
    <row r="92" spans="1:18" ht="15.75" customHeight="1">
      <c r="A92" s="35">
        <v>43836</v>
      </c>
      <c r="B92" s="36">
        <v>410</v>
      </c>
      <c r="C92" s="37" t="str">
        <f>IF(ISNA(VLOOKUP(Tableau13[[#This Row],[Code]],'Code Véhicule'!$A$4:$C$185,2,0)),"",VLOOKUP(Tableau13[[#This Row],[Code]],'Code Véhicule'!$A$4:$C$185,2,0))</f>
        <v>Semi remorque</v>
      </c>
      <c r="D92" s="38" t="str">
        <f>IF(ISNA(VLOOKUP(Tableau13[[#This Row],[Code]],'Code Véhicule'!$A$4:$C$185,3,0)),"",VLOOKUP(Tableau13[[#This Row],[Code]],'Code Véhicule'!$A$4:$C$185,3,0))</f>
        <v>MAN</v>
      </c>
      <c r="E92" s="36" t="str">
        <f>IF(ISNA(VLOOKUP(Tableau13[[#This Row],[Code]],'Code Véhicule'!$A$4:$D$185,4,0))," ",VLOOKUP(Tableau13[[#This Row],[Code]],'Code Véhicule'!$A$4:$D$185,4,0))</f>
        <v xml:space="preserve">28659-D-1 </v>
      </c>
      <c r="F92" s="36"/>
      <c r="G92" s="38" t="s">
        <v>393</v>
      </c>
      <c r="H92" s="38"/>
      <c r="I92" s="36" t="s">
        <v>302</v>
      </c>
      <c r="J92" s="43" t="s">
        <v>357</v>
      </c>
      <c r="K92" s="36"/>
      <c r="L92" s="40"/>
      <c r="M92" s="36"/>
      <c r="N92" s="35">
        <v>43836</v>
      </c>
      <c r="O92" s="38"/>
      <c r="P92" s="38"/>
      <c r="Q92" s="176" t="e">
        <f>MONTH([1]!Tableau13[[#This Row],[Date début]])</f>
        <v>#REF!</v>
      </c>
      <c r="R92" s="180" t="e">
        <f>YEAR([1]!Tableau13[[#This Row],[Date début]])</f>
        <v>#REF!</v>
      </c>
    </row>
    <row r="93" spans="1:18" ht="15.75" customHeight="1">
      <c r="A93" s="35">
        <v>43836</v>
      </c>
      <c r="B93" s="36">
        <v>436</v>
      </c>
      <c r="C93" s="37" t="str">
        <f>IF(ISNA(VLOOKUP(Tableau13[[#This Row],[Code]],'Code Véhicule'!$A$4:$C$185,2,0)),"",VLOOKUP(Tableau13[[#This Row],[Code]],'Code Véhicule'!$A$4:$C$185,2,0))</f>
        <v>Camion</v>
      </c>
      <c r="D93" s="38" t="str">
        <f>IF(ISNA(VLOOKUP(Tableau13[[#This Row],[Code]],'Code Véhicule'!$A$4:$C$185,3,0)),"",VLOOKUP(Tableau13[[#This Row],[Code]],'Code Véhicule'!$A$4:$C$185,3,0))</f>
        <v>Mitsubishi</v>
      </c>
      <c r="E93" s="36" t="str">
        <f>IF(ISNA(VLOOKUP(Tableau13[[#This Row],[Code]],'Code Véhicule'!$A$4:$D$185,4,0))," ",VLOOKUP(Tableau13[[#This Row],[Code]],'Code Véhicule'!$A$4:$D$185,4,0))</f>
        <v>11470-A-73</v>
      </c>
      <c r="F93" s="36"/>
      <c r="G93" s="38" t="s">
        <v>389</v>
      </c>
      <c r="H93" s="38"/>
      <c r="I93" s="36" t="s">
        <v>304</v>
      </c>
      <c r="J93" s="43" t="s">
        <v>340</v>
      </c>
      <c r="K93" s="36"/>
      <c r="L93" s="40"/>
      <c r="M93" s="36"/>
      <c r="N93" s="35">
        <v>43836</v>
      </c>
      <c r="O93" s="38"/>
      <c r="P93" s="38"/>
      <c r="Q93" s="176" t="e">
        <f>MONTH([1]!Tableau13[[#This Row],[Date début]])</f>
        <v>#REF!</v>
      </c>
      <c r="R93" s="180" t="e">
        <f>YEAR([1]!Tableau13[[#This Row],[Date début]])</f>
        <v>#REF!</v>
      </c>
    </row>
    <row r="94" spans="1:18" ht="30" customHeight="1">
      <c r="A94" s="35">
        <v>43837</v>
      </c>
      <c r="B94" s="36">
        <v>428</v>
      </c>
      <c r="C94" s="37" t="str">
        <f>IF(ISNA(VLOOKUP(Tableau13[[#This Row],[Code]],'Code Véhicule'!$A$4:$C$185,2,0)),"",VLOOKUP(Tableau13[[#This Row],[Code]],'Code Véhicule'!$A$4:$C$185,2,0))</f>
        <v>Chariot elevateur</v>
      </c>
      <c r="D94" s="38" t="str">
        <f>IF(ISNA(VLOOKUP(Tableau13[[#This Row],[Code]],'Code Véhicule'!$A$4:$C$185,3,0)),"",VLOOKUP(Tableau13[[#This Row],[Code]],'Code Véhicule'!$A$4:$C$185,3,0))</f>
        <v>Linde H30</v>
      </c>
      <c r="E94" s="36" t="str">
        <f>IF(ISNA(VLOOKUP(Tableau13[[#This Row],[Code]],'Code Véhicule'!$A$4:$D$185,4,0))," ",VLOOKUP(Tableau13[[#This Row],[Code]],'Code Véhicule'!$A$4:$D$185,4,0))</f>
        <v>-</v>
      </c>
      <c r="F94" s="36">
        <v>22192</v>
      </c>
      <c r="G94" s="38" t="s">
        <v>393</v>
      </c>
      <c r="H94" s="38"/>
      <c r="I94" s="36" t="s">
        <v>302</v>
      </c>
      <c r="J94" s="43" t="s">
        <v>375</v>
      </c>
      <c r="K94" s="36">
        <v>141274</v>
      </c>
      <c r="L94" s="40">
        <v>120</v>
      </c>
      <c r="M94" s="36">
        <v>120</v>
      </c>
      <c r="N94" s="35">
        <v>43837</v>
      </c>
      <c r="O94" s="38"/>
      <c r="P94" s="38"/>
      <c r="Q94" s="176" t="e">
        <f>MONTH([1]!Tableau13[[#This Row],[Date début]])</f>
        <v>#REF!</v>
      </c>
      <c r="R94" s="180" t="e">
        <f>YEAR([1]!Tableau13[[#This Row],[Date début]])</f>
        <v>#REF!</v>
      </c>
    </row>
    <row r="95" spans="1:18" ht="30" customHeight="1">
      <c r="A95" s="35">
        <v>43838</v>
      </c>
      <c r="B95" s="36">
        <v>410</v>
      </c>
      <c r="C95" s="37" t="str">
        <f>IF(ISNA(VLOOKUP(Tableau13[[#This Row],[Code]],'Code Véhicule'!$A$4:$C$185,2,0)),"",VLOOKUP(Tableau13[[#This Row],[Code]],'Code Véhicule'!$A$4:$C$185,2,0))</f>
        <v>Semi remorque</v>
      </c>
      <c r="D95" s="38" t="str">
        <f>IF(ISNA(VLOOKUP(Tableau13[[#This Row],[Code]],'Code Véhicule'!$A$4:$C$185,3,0)),"",VLOOKUP(Tableau13[[#This Row],[Code]],'Code Véhicule'!$A$4:$C$185,3,0))</f>
        <v>MAN</v>
      </c>
      <c r="E95" s="36" t="str">
        <f>IF(ISNA(VLOOKUP(Tableau13[[#This Row],[Code]],'Code Véhicule'!$A$4:$D$185,4,0))," ",VLOOKUP(Tableau13[[#This Row],[Code]],'Code Véhicule'!$A$4:$D$185,4,0))</f>
        <v xml:space="preserve">28659-D-1 </v>
      </c>
      <c r="F95" s="36"/>
      <c r="G95" s="38" t="s">
        <v>389</v>
      </c>
      <c r="H95" s="38"/>
      <c r="I95" s="36" t="s">
        <v>304</v>
      </c>
      <c r="J95" s="43" t="s">
        <v>358</v>
      </c>
      <c r="K95" s="36"/>
      <c r="L95" s="40"/>
      <c r="M95" s="36"/>
      <c r="N95" s="35">
        <v>43838</v>
      </c>
      <c r="O95" s="38"/>
      <c r="P95" s="38"/>
      <c r="Q95" s="176" t="e">
        <f>MONTH([1]!Tableau13[[#This Row],[Date début]])</f>
        <v>#REF!</v>
      </c>
      <c r="R95" s="180" t="e">
        <f>YEAR([1]!Tableau13[[#This Row],[Date début]])</f>
        <v>#REF!</v>
      </c>
    </row>
    <row r="96" spans="1:18">
      <c r="A96" s="35">
        <v>43838</v>
      </c>
      <c r="B96" s="36">
        <v>479</v>
      </c>
      <c r="C96" s="37" t="str">
        <f>IF(ISNA(VLOOKUP(Tableau13[[#This Row],[Code]],'Code Véhicule'!$A$4:$C$185,2,0)),"",VLOOKUP(Tableau13[[#This Row],[Code]],'Code Véhicule'!$A$4:$C$185,2,0))</f>
        <v>Bus de transport</v>
      </c>
      <c r="D96" s="38" t="str">
        <f>IF(ISNA(VLOOKUP(Tableau13[[#This Row],[Code]],'Code Véhicule'!$A$4:$C$185,3,0)),"",VLOOKUP(Tableau13[[#This Row],[Code]],'Code Véhicule'!$A$4:$C$185,3,0))</f>
        <v>Hyundai County</v>
      </c>
      <c r="E96" s="36" t="str">
        <f>IF(ISNA(VLOOKUP(Tableau13[[#This Row],[Code]],'Code Véhicule'!$A$4:$D$185,4,0))," ",VLOOKUP(Tableau13[[#This Row],[Code]],'Code Véhicule'!$A$4:$D$185,4,0))</f>
        <v>22772-A-73</v>
      </c>
      <c r="F96" s="36"/>
      <c r="G96" s="38" t="s">
        <v>393</v>
      </c>
      <c r="H96" s="38"/>
      <c r="I96" s="36" t="s">
        <v>302</v>
      </c>
      <c r="J96" s="43" t="s">
        <v>354</v>
      </c>
      <c r="K96" s="36"/>
      <c r="L96" s="40"/>
      <c r="M96" s="36"/>
      <c r="N96" s="35">
        <v>43838</v>
      </c>
      <c r="O96" s="38"/>
      <c r="P96" s="38"/>
      <c r="Q96" s="176" t="e">
        <f>MONTH([1]!Tableau13[[#This Row],[Date début]])</f>
        <v>#REF!</v>
      </c>
      <c r="R96" s="180" t="e">
        <f>YEAR([1]!Tableau13[[#This Row],[Date début]])</f>
        <v>#REF!</v>
      </c>
    </row>
    <row r="97" spans="1:18">
      <c r="A97" s="35">
        <v>43838</v>
      </c>
      <c r="B97" s="36">
        <v>471</v>
      </c>
      <c r="C97" s="37" t="str">
        <f>IF(ISNA(VLOOKUP(Tableau13[[#This Row],[Code]],'Code Véhicule'!$A$4:$C$185,2,0)),"",VLOOKUP(Tableau13[[#This Row],[Code]],'Code Véhicule'!$A$4:$C$185,2,0))</f>
        <v>Bus de transport</v>
      </c>
      <c r="D97" s="38" t="str">
        <f>IF(ISNA(VLOOKUP(Tableau13[[#This Row],[Code]],'Code Véhicule'!$A$4:$C$185,3,0)),"",VLOOKUP(Tableau13[[#This Row],[Code]],'Code Véhicule'!$A$4:$C$185,3,0))</f>
        <v xml:space="preserve">Hyundai County </v>
      </c>
      <c r="E97" s="36" t="str">
        <f>IF(ISNA(VLOOKUP(Tableau13[[#This Row],[Code]],'Code Véhicule'!$A$4:$D$185,4,0))," ",VLOOKUP(Tableau13[[#This Row],[Code]],'Code Véhicule'!$A$4:$D$185,4,0))</f>
        <v>18516-A-73</v>
      </c>
      <c r="F97" s="36">
        <v>22462</v>
      </c>
      <c r="G97" s="38" t="s">
        <v>397</v>
      </c>
      <c r="H97" s="38"/>
      <c r="I97" s="36" t="s">
        <v>304</v>
      </c>
      <c r="J97" s="43" t="s">
        <v>359</v>
      </c>
      <c r="K97" s="36"/>
      <c r="L97" s="40"/>
      <c r="M97" s="36"/>
      <c r="N97" s="35">
        <v>43838</v>
      </c>
      <c r="O97" s="38"/>
      <c r="P97" s="38"/>
      <c r="Q97" s="176" t="e">
        <f>MONTH([1]!Tableau13[[#This Row],[Date début]])</f>
        <v>#REF!</v>
      </c>
      <c r="R97" s="180" t="e">
        <f>YEAR([1]!Tableau13[[#This Row],[Date début]])</f>
        <v>#REF!</v>
      </c>
    </row>
    <row r="98" spans="1:18" ht="45" customHeight="1">
      <c r="A98" s="35">
        <v>43838</v>
      </c>
      <c r="B98" s="36">
        <v>422</v>
      </c>
      <c r="C98" s="37" t="str">
        <f>IF(ISNA(VLOOKUP(Tableau13[[#This Row],[Code]],'Code Véhicule'!$A$4:$C$185,2,0)),"",VLOOKUP(Tableau13[[#This Row],[Code]],'Code Véhicule'!$A$4:$C$185,2,0))</f>
        <v>Chariot elevateur</v>
      </c>
      <c r="D98" s="38" t="str">
        <f>IF(ISNA(VLOOKUP(Tableau13[[#This Row],[Code]],'Code Véhicule'!$A$4:$C$185,3,0)),"",VLOOKUP(Tableau13[[#This Row],[Code]],'Code Véhicule'!$A$4:$C$185,3,0))</f>
        <v>Fenwick LINDE 25</v>
      </c>
      <c r="E98" s="36" t="str">
        <f>IF(ISNA(VLOOKUP(Tableau13[[#This Row],[Code]],'Code Véhicule'!$A$4:$D$185,4,0))," ",VLOOKUP(Tableau13[[#This Row],[Code]],'Code Véhicule'!$A$4:$D$185,4,0))</f>
        <v>-</v>
      </c>
      <c r="F98" s="36">
        <v>22194</v>
      </c>
      <c r="G98" s="38" t="s">
        <v>393</v>
      </c>
      <c r="H98" s="38"/>
      <c r="I98" s="36" t="s">
        <v>302</v>
      </c>
      <c r="J98" s="43" t="s">
        <v>378</v>
      </c>
      <c r="K98" s="36" t="s">
        <v>379</v>
      </c>
      <c r="L98" s="40">
        <v>180</v>
      </c>
      <c r="M98" s="36">
        <v>180</v>
      </c>
      <c r="N98" s="35">
        <v>43838</v>
      </c>
      <c r="O98" s="38"/>
      <c r="P98" s="38"/>
      <c r="Q98" s="176" t="e">
        <f>MONTH([1]!Tableau13[[#This Row],[Date début]])</f>
        <v>#REF!</v>
      </c>
      <c r="R98" s="180" t="e">
        <f>YEAR([1]!Tableau13[[#This Row],[Date début]])</f>
        <v>#REF!</v>
      </c>
    </row>
    <row r="99" spans="1:18" ht="30" customHeight="1">
      <c r="A99" s="35">
        <v>43839</v>
      </c>
      <c r="B99" s="36">
        <v>426</v>
      </c>
      <c r="C99" s="37" t="str">
        <f>IF(ISNA(VLOOKUP(Tableau13[[#This Row],[Code]],'Code Véhicule'!$A$4:$C$185,2,0)),"",VLOOKUP(Tableau13[[#This Row],[Code]],'Code Véhicule'!$A$4:$C$185,2,0))</f>
        <v>Chariot elevateur</v>
      </c>
      <c r="D99" s="38" t="str">
        <f>IF(ISNA(VLOOKUP(Tableau13[[#This Row],[Code]],'Code Véhicule'!$A$4:$C$185,3,0)),"",VLOOKUP(Tableau13[[#This Row],[Code]],'Code Véhicule'!$A$4:$C$185,3,0))</f>
        <v>Manitou MC 30</v>
      </c>
      <c r="E99" s="36" t="str">
        <f>IF(ISNA(VLOOKUP(Tableau13[[#This Row],[Code]],'Code Véhicule'!$A$4:$D$185,4,0))," ",VLOOKUP(Tableau13[[#This Row],[Code]],'Code Véhicule'!$A$4:$D$185,4,0))</f>
        <v>-</v>
      </c>
      <c r="F99" s="36">
        <v>22193</v>
      </c>
      <c r="G99" s="38" t="s">
        <v>396</v>
      </c>
      <c r="H99" s="38"/>
      <c r="I99" s="36" t="s">
        <v>304</v>
      </c>
      <c r="J99" s="43" t="s">
        <v>377</v>
      </c>
      <c r="K99" s="36">
        <v>141274</v>
      </c>
      <c r="L99" s="40">
        <v>120</v>
      </c>
      <c r="M99" s="36">
        <v>120</v>
      </c>
      <c r="N99" s="35">
        <v>43839</v>
      </c>
      <c r="O99" s="38"/>
      <c r="P99" s="38"/>
      <c r="Q99" s="176" t="e">
        <f>MONTH([1]!Tableau13[[#This Row],[Date début]])</f>
        <v>#REF!</v>
      </c>
      <c r="R99" s="180" t="e">
        <f>YEAR([1]!Tableau13[[#This Row],[Date début]])</f>
        <v>#REF!</v>
      </c>
    </row>
    <row r="100" spans="1:18" ht="45" customHeight="1">
      <c r="A100" s="35">
        <v>43840</v>
      </c>
      <c r="B100" s="36">
        <v>435</v>
      </c>
      <c r="C100" s="37" t="str">
        <f>IF(ISNA(VLOOKUP(Tableau13[[#This Row],[Code]],'Code Véhicule'!$A$4:$C$185,2,0)),"",VLOOKUP(Tableau13[[#This Row],[Code]],'Code Véhicule'!$A$4:$C$185,2,0))</f>
        <v>Camion</v>
      </c>
      <c r="D100" s="38" t="str">
        <f>IF(ISNA(VLOOKUP(Tableau13[[#This Row],[Code]],'Code Véhicule'!$A$4:$C$185,3,0)),"",VLOOKUP(Tableau13[[#This Row],[Code]],'Code Véhicule'!$A$4:$C$185,3,0))</f>
        <v>Mitsubishi</v>
      </c>
      <c r="E100" s="36" t="str">
        <f>IF(ISNA(VLOOKUP(Tableau13[[#This Row],[Code]],'Code Véhicule'!$A$4:$D$185,4,0))," ",VLOOKUP(Tableau13[[#This Row],[Code]],'Code Véhicule'!$A$4:$D$185,4,0))</f>
        <v xml:space="preserve"> 11469-A-73</v>
      </c>
      <c r="F100" s="36"/>
      <c r="G100" s="38" t="s">
        <v>389</v>
      </c>
      <c r="H100" s="38"/>
      <c r="I100" s="36" t="s">
        <v>304</v>
      </c>
      <c r="J100" s="43" t="s">
        <v>454</v>
      </c>
      <c r="K100" s="36"/>
      <c r="L100" s="40"/>
      <c r="M100" s="36"/>
      <c r="N100" s="35">
        <v>43840</v>
      </c>
      <c r="O100" s="38"/>
      <c r="P100" s="38"/>
      <c r="Q100" s="176" t="e">
        <f>MONTH([1]!Tableau13[[#This Row],[Date début]])</f>
        <v>#REF!</v>
      </c>
      <c r="R100" s="180" t="e">
        <f>YEAR([1]!Tableau13[[#This Row],[Date début]])</f>
        <v>#REF!</v>
      </c>
    </row>
    <row r="101" spans="1:18" ht="75" customHeight="1">
      <c r="A101" s="35">
        <v>43840</v>
      </c>
      <c r="B101" s="36">
        <v>429</v>
      </c>
      <c r="C101" s="37" t="str">
        <f>IF(ISNA(VLOOKUP(Tableau13[[#This Row],[Code]],'Code Véhicule'!$A$4:$C$185,2,0)),"",VLOOKUP(Tableau13[[#This Row],[Code]],'Code Véhicule'!$A$4:$C$185,2,0))</f>
        <v>Chariot elevateur</v>
      </c>
      <c r="D101" s="38" t="str">
        <f>IF(ISNA(VLOOKUP(Tableau13[[#This Row],[Code]],'Code Véhicule'!$A$4:$C$185,3,0)),"",VLOOKUP(Tableau13[[#This Row],[Code]],'Code Véhicule'!$A$4:$C$185,3,0))</f>
        <v>Fenwick HD30</v>
      </c>
      <c r="E101" s="36" t="str">
        <f>IF(ISNA(VLOOKUP(Tableau13[[#This Row],[Code]],'Code Véhicule'!$A$4:$D$185,4,0))," ",VLOOKUP(Tableau13[[#This Row],[Code]],'Code Véhicule'!$A$4:$D$185,4,0))</f>
        <v>-</v>
      </c>
      <c r="F101" s="36">
        <v>22195</v>
      </c>
      <c r="G101" s="38" t="s">
        <v>393</v>
      </c>
      <c r="H101" s="38"/>
      <c r="I101" s="36" t="s">
        <v>302</v>
      </c>
      <c r="J101" s="43" t="s">
        <v>380</v>
      </c>
      <c r="K101" s="36">
        <v>141282</v>
      </c>
      <c r="L101" s="40">
        <v>60</v>
      </c>
      <c r="M101" s="36">
        <v>60</v>
      </c>
      <c r="N101" s="35">
        <v>43840</v>
      </c>
      <c r="O101" s="38"/>
      <c r="P101" s="38"/>
      <c r="Q101" s="176" t="e">
        <f>MONTH([1]!Tableau13[[#This Row],[Date début]])</f>
        <v>#REF!</v>
      </c>
      <c r="R101" s="180" t="e">
        <f>YEAR([1]!Tableau13[[#This Row],[Date début]])</f>
        <v>#REF!</v>
      </c>
    </row>
    <row r="102" spans="1:18" ht="15.75" customHeight="1">
      <c r="A102" s="35">
        <v>43841</v>
      </c>
      <c r="B102" s="36">
        <v>411</v>
      </c>
      <c r="C102" s="37" t="str">
        <f>IF(ISNA(VLOOKUP(Tableau13[[#This Row],[Code]],'Code Véhicule'!$A$4:$C$185,2,0)),"",VLOOKUP(Tableau13[[#This Row],[Code]],'Code Véhicule'!$A$4:$C$185,2,0))</f>
        <v>Camion</v>
      </c>
      <c r="D102" s="38" t="str">
        <f>IF(ISNA(VLOOKUP(Tableau13[[#This Row],[Code]],'Code Véhicule'!$A$4:$C$185,3,0)),"",VLOOKUP(Tableau13[[#This Row],[Code]],'Code Véhicule'!$A$4:$C$185,3,0))</f>
        <v>Renault</v>
      </c>
      <c r="E102" s="36" t="str">
        <f>IF(ISNA(VLOOKUP(Tableau13[[#This Row],[Code]],'Code Véhicule'!$A$4:$D$185,4,0))," ",VLOOKUP(Tableau13[[#This Row],[Code]],'Code Véhicule'!$A$4:$D$185,4,0))</f>
        <v>25636-A-13</v>
      </c>
      <c r="F102" s="36"/>
      <c r="G102" s="38" t="s">
        <v>327</v>
      </c>
      <c r="H102" s="38"/>
      <c r="I102" s="36" t="s">
        <v>304</v>
      </c>
      <c r="J102" s="43" t="s">
        <v>360</v>
      </c>
      <c r="K102" s="36"/>
      <c r="L102" s="40"/>
      <c r="M102" s="36"/>
      <c r="N102" s="35">
        <v>43841</v>
      </c>
      <c r="O102" s="38"/>
      <c r="P102" s="38"/>
      <c r="Q102" s="176" t="e">
        <f>MONTH([1]!Tableau13[[#This Row],[Date début]])</f>
        <v>#REF!</v>
      </c>
      <c r="R102" s="180" t="e">
        <f>YEAR([1]!Tableau13[[#This Row],[Date début]])</f>
        <v>#REF!</v>
      </c>
    </row>
    <row r="103" spans="1:18">
      <c r="A103" s="35">
        <v>43841</v>
      </c>
      <c r="B103" s="36">
        <v>479</v>
      </c>
      <c r="C103" s="37" t="str">
        <f>IF(ISNA(VLOOKUP(Tableau13[[#This Row],[Code]],'Code Véhicule'!$A$4:$C$185,2,0)),"",VLOOKUP(Tableau13[[#This Row],[Code]],'Code Véhicule'!$A$4:$C$185,2,0))</f>
        <v>Bus de transport</v>
      </c>
      <c r="D103" s="38" t="str">
        <f>IF(ISNA(VLOOKUP(Tableau13[[#This Row],[Code]],'Code Véhicule'!$A$4:$C$185,3,0)),"",VLOOKUP(Tableau13[[#This Row],[Code]],'Code Véhicule'!$A$4:$C$185,3,0))</f>
        <v>Hyundai County</v>
      </c>
      <c r="E103" s="36" t="str">
        <f>IF(ISNA(VLOOKUP(Tableau13[[#This Row],[Code]],'Code Véhicule'!$A$4:$D$185,4,0))," ",VLOOKUP(Tableau13[[#This Row],[Code]],'Code Véhicule'!$A$4:$D$185,4,0))</f>
        <v>22772-A-73</v>
      </c>
      <c r="F103" s="36"/>
      <c r="G103" s="38" t="s">
        <v>389</v>
      </c>
      <c r="H103" s="38"/>
      <c r="I103" s="36" t="s">
        <v>304</v>
      </c>
      <c r="J103" s="43" t="s">
        <v>340</v>
      </c>
      <c r="K103" s="36"/>
      <c r="L103" s="40"/>
      <c r="M103" s="36"/>
      <c r="N103" s="35">
        <v>43841</v>
      </c>
      <c r="O103" s="38"/>
      <c r="P103" s="38"/>
      <c r="Q103" s="176" t="e">
        <f>MONTH([1]!Tableau13[[#This Row],[Date début]])</f>
        <v>#REF!</v>
      </c>
      <c r="R103" s="180" t="e">
        <f>YEAR([1]!Tableau13[[#This Row],[Date début]])</f>
        <v>#REF!</v>
      </c>
    </row>
    <row r="104" spans="1:18" ht="75" customHeight="1">
      <c r="A104" s="35">
        <v>43843</v>
      </c>
      <c r="B104" s="36">
        <v>408</v>
      </c>
      <c r="C104" s="37" t="str">
        <f>IF(ISNA(VLOOKUP(Tableau13[[#This Row],[Code]],'Code Véhicule'!$A$4:$C$185,2,0)),"",VLOOKUP(Tableau13[[#This Row],[Code]],'Code Véhicule'!$A$4:$C$185,2,0))</f>
        <v>Camion</v>
      </c>
      <c r="D104" s="38" t="str">
        <f>IF(ISNA(VLOOKUP(Tableau13[[#This Row],[Code]],'Code Véhicule'!$A$4:$C$185,3,0)),"",VLOOKUP(Tableau13[[#This Row],[Code]],'Code Véhicule'!$A$4:$C$185,3,0))</f>
        <v>Mitsubishi</v>
      </c>
      <c r="E104" s="36" t="str">
        <f>IF(ISNA(VLOOKUP(Tableau13[[#This Row],[Code]],'Code Véhicule'!$A$4:$D$185,4,0))," ",VLOOKUP(Tableau13[[#This Row],[Code]],'Code Véhicule'!$A$4:$D$185,4,0))</f>
        <v>4703-A-73</v>
      </c>
      <c r="F104" s="36"/>
      <c r="G104" s="38" t="s">
        <v>389</v>
      </c>
      <c r="H104" s="38"/>
      <c r="I104" s="36" t="s">
        <v>304</v>
      </c>
      <c r="J104" s="43" t="s">
        <v>451</v>
      </c>
      <c r="K104" s="36" t="s">
        <v>639</v>
      </c>
      <c r="L104" s="40" t="s">
        <v>640</v>
      </c>
      <c r="M104" s="36" t="s">
        <v>641</v>
      </c>
      <c r="N104" s="35">
        <v>43851</v>
      </c>
      <c r="O104" s="38"/>
      <c r="P104" s="38"/>
      <c r="Q104" s="176" t="e">
        <f>MONTH([1]!Tableau13[[#This Row],[Date début]])</f>
        <v>#REF!</v>
      </c>
      <c r="R104" s="180" t="e">
        <f>YEAR([1]!Tableau13[[#This Row],[Date début]])</f>
        <v>#REF!</v>
      </c>
    </row>
    <row r="105" spans="1:18" ht="45" customHeight="1">
      <c r="A105" s="35">
        <v>43843</v>
      </c>
      <c r="B105" s="36">
        <v>434</v>
      </c>
      <c r="C105" s="37" t="str">
        <f>IF(ISNA(VLOOKUP(Tableau13[[#This Row],[Code]],'Code Véhicule'!$A$4:$C$185,2,0)),"",VLOOKUP(Tableau13[[#This Row],[Code]],'Code Véhicule'!$A$4:$C$185,2,0))</f>
        <v>Chariot elevateur</v>
      </c>
      <c r="D105" s="38" t="str">
        <f>IF(ISNA(VLOOKUP(Tableau13[[#This Row],[Code]],'Code Véhicule'!$A$4:$C$185,3,0)),"",VLOOKUP(Tableau13[[#This Row],[Code]],'Code Véhicule'!$A$4:$C$185,3,0))</f>
        <v>Linde H30D</v>
      </c>
      <c r="E105" s="36" t="str">
        <f>IF(ISNA(VLOOKUP(Tableau13[[#This Row],[Code]],'Code Véhicule'!$A$4:$D$185,4,0))," ",VLOOKUP(Tableau13[[#This Row],[Code]],'Code Véhicule'!$A$4:$D$185,4,0))</f>
        <v>-</v>
      </c>
      <c r="F105" s="36">
        <v>22196</v>
      </c>
      <c r="G105" s="38" t="s">
        <v>389</v>
      </c>
      <c r="H105" s="38"/>
      <c r="I105" s="36" t="s">
        <v>304</v>
      </c>
      <c r="J105" s="43" t="s">
        <v>381</v>
      </c>
      <c r="K105" s="36" t="s">
        <v>382</v>
      </c>
      <c r="L105" s="40">
        <v>360</v>
      </c>
      <c r="M105" s="36">
        <v>360</v>
      </c>
      <c r="N105" s="35">
        <v>43843</v>
      </c>
      <c r="O105" s="38"/>
      <c r="P105" s="38"/>
      <c r="Q105" s="176" t="e">
        <f>MONTH([1]!Tableau13[[#This Row],[Date début]])</f>
        <v>#REF!</v>
      </c>
      <c r="R105" s="180" t="e">
        <f>YEAR([1]!Tableau13[[#This Row],[Date début]])</f>
        <v>#REF!</v>
      </c>
    </row>
    <row r="106" spans="1:18" ht="30" customHeight="1">
      <c r="A106" s="35">
        <v>43845</v>
      </c>
      <c r="B106" s="36">
        <v>403</v>
      </c>
      <c r="C106" s="37" t="str">
        <f>IF(ISNA(VLOOKUP(Tableau13[[#This Row],[Code]],'Code Véhicule'!$A$4:$C$185,2,0)),"",VLOOKUP(Tableau13[[#This Row],[Code]],'Code Véhicule'!$A$4:$C$185,2,0))</f>
        <v>Camion</v>
      </c>
      <c r="D106" s="38" t="str">
        <f>IF(ISNA(VLOOKUP(Tableau13[[#This Row],[Code]],'Code Véhicule'!$A$4:$C$185,3,0)),"",VLOOKUP(Tableau13[[#This Row],[Code]],'Code Véhicule'!$A$4:$C$185,3,0))</f>
        <v>MAN</v>
      </c>
      <c r="E106" s="36" t="str">
        <f>IF(ISNA(VLOOKUP(Tableau13[[#This Row],[Code]],'Code Véhicule'!$A$4:$D$185,4,0))," ",VLOOKUP(Tableau13[[#This Row],[Code]],'Code Véhicule'!$A$4:$D$185,4,0))</f>
        <v>4790-B-8</v>
      </c>
      <c r="F106" s="36">
        <v>22481</v>
      </c>
      <c r="G106" s="38" t="s">
        <v>397</v>
      </c>
      <c r="H106" s="38"/>
      <c r="I106" s="36" t="s">
        <v>304</v>
      </c>
      <c r="J106" s="43" t="s">
        <v>463</v>
      </c>
      <c r="K106" s="36">
        <v>141293</v>
      </c>
      <c r="L106" s="40" t="s">
        <v>638</v>
      </c>
      <c r="M106" s="36" t="s">
        <v>638</v>
      </c>
      <c r="N106" s="35">
        <v>43847</v>
      </c>
      <c r="O106" s="38"/>
      <c r="P106" s="38"/>
      <c r="Q106" s="176" t="e">
        <f>MONTH([1]!Tableau13[[#This Row],[Date début]])</f>
        <v>#REF!</v>
      </c>
      <c r="R106" s="180" t="e">
        <f>YEAR([1]!Tableau13[[#This Row],[Date début]])</f>
        <v>#REF!</v>
      </c>
    </row>
    <row r="107" spans="1:18" ht="15.75" customHeight="1">
      <c r="A107" s="35">
        <v>43846</v>
      </c>
      <c r="B107" s="36">
        <v>480</v>
      </c>
      <c r="C107" s="37" t="str">
        <f>IF(ISNA(VLOOKUP(Tableau13[[#This Row],[Code]],'Code Véhicule'!$A$4:$C$185,2,0)),"",VLOOKUP(Tableau13[[#This Row],[Code]],'Code Véhicule'!$A$4:$C$185,2,0))</f>
        <v>Camion</v>
      </c>
      <c r="D107" s="38" t="str">
        <f>IF(ISNA(VLOOKUP(Tableau13[[#This Row],[Code]],'Code Véhicule'!$A$4:$C$185,3,0)),"",VLOOKUP(Tableau13[[#This Row],[Code]],'Code Véhicule'!$A$4:$C$185,3,0))</f>
        <v>VOLVO</v>
      </c>
      <c r="E107" s="36" t="str">
        <f>IF(ISNA(VLOOKUP(Tableau13[[#This Row],[Code]],'Code Véhicule'!$A$4:$D$185,4,0))," ",VLOOKUP(Tableau13[[#This Row],[Code]],'Code Véhicule'!$A$4:$D$185,4,0))</f>
        <v>22299-A-73</v>
      </c>
      <c r="F107" s="36"/>
      <c r="G107" s="38" t="s">
        <v>389</v>
      </c>
      <c r="H107" s="38"/>
      <c r="I107" s="36" t="s">
        <v>304</v>
      </c>
      <c r="J107" s="43" t="s">
        <v>311</v>
      </c>
      <c r="K107" s="36"/>
      <c r="L107" s="40"/>
      <c r="M107" s="36"/>
      <c r="N107" s="35">
        <v>43846</v>
      </c>
      <c r="O107" s="38"/>
      <c r="P107" s="38"/>
      <c r="Q107" s="176" t="e">
        <f>MONTH([1]!Tableau13[[#This Row],[Date début]])</f>
        <v>#REF!</v>
      </c>
      <c r="R107" s="180" t="e">
        <f>YEAR([1]!Tableau13[[#This Row],[Date début]])</f>
        <v>#REF!</v>
      </c>
    </row>
    <row r="108" spans="1:18" ht="30" customHeight="1">
      <c r="A108" s="35">
        <v>43846</v>
      </c>
      <c r="B108" s="36">
        <v>427</v>
      </c>
      <c r="C108" s="37" t="str">
        <f>IF(ISNA(VLOOKUP(Tableau13[[#This Row],[Code]],'Code Véhicule'!$A$4:$C$185,2,0)),"",VLOOKUP(Tableau13[[#This Row],[Code]],'Code Véhicule'!$A$4:$C$185,2,0))</f>
        <v>Chariot elevateur</v>
      </c>
      <c r="D108" s="38" t="str">
        <f>IF(ISNA(VLOOKUP(Tableau13[[#This Row],[Code]],'Code Véhicule'!$A$4:$C$185,3,0)),"",VLOOKUP(Tableau13[[#This Row],[Code]],'Code Véhicule'!$A$4:$C$185,3,0))</f>
        <v>Linde H30</v>
      </c>
      <c r="E108" s="36" t="str">
        <f>IF(ISNA(VLOOKUP(Tableau13[[#This Row],[Code]],'Code Véhicule'!$A$4:$D$185,4,0))," ",VLOOKUP(Tableau13[[#This Row],[Code]],'Code Véhicule'!$A$4:$D$185,4,0))</f>
        <v>-</v>
      </c>
      <c r="F108" s="36">
        <v>22197</v>
      </c>
      <c r="G108" s="38" t="s">
        <v>393</v>
      </c>
      <c r="H108" s="38"/>
      <c r="I108" s="36" t="s">
        <v>304</v>
      </c>
      <c r="J108" s="43" t="s">
        <v>453</v>
      </c>
      <c r="K108" s="36">
        <v>142306</v>
      </c>
      <c r="L108" s="40">
        <v>30</v>
      </c>
      <c r="M108" s="36">
        <v>30</v>
      </c>
      <c r="N108" s="35">
        <v>43846</v>
      </c>
      <c r="O108" s="38"/>
      <c r="P108" s="38"/>
      <c r="Q108" s="176" t="e">
        <f>MONTH([1]!Tableau13[[#This Row],[Date début]])</f>
        <v>#REF!</v>
      </c>
      <c r="R108" s="180" t="e">
        <f>YEAR([1]!Tableau13[[#This Row],[Date début]])</f>
        <v>#REF!</v>
      </c>
    </row>
    <row r="109" spans="1:18" ht="90" customHeight="1">
      <c r="A109" s="35">
        <v>43847</v>
      </c>
      <c r="B109" s="36">
        <v>406</v>
      </c>
      <c r="C109" s="37" t="str">
        <f>IF(ISNA(VLOOKUP(Tableau13[[#This Row],[Code]],'Code Véhicule'!$A$4:$C$185,2,0)),"",VLOOKUP(Tableau13[[#This Row],[Code]],'Code Véhicule'!$A$4:$C$185,2,0))</f>
        <v>Semi remorque</v>
      </c>
      <c r="D109" s="38" t="str">
        <f>IF(ISNA(VLOOKUP(Tableau13[[#This Row],[Code]],'Code Véhicule'!$A$4:$C$185,3,0)),"",VLOOKUP(Tableau13[[#This Row],[Code]],'Code Véhicule'!$A$4:$C$185,3,0))</f>
        <v>VOLVO</v>
      </c>
      <c r="E109" s="36" t="str">
        <f>IF(ISNA(VLOOKUP(Tableau13[[#This Row],[Code]],'Code Véhicule'!$A$4:$D$185,4,0))," ",VLOOKUP(Tableau13[[#This Row],[Code]],'Code Véhicule'!$A$4:$D$185,4,0))</f>
        <v>70352-A-6</v>
      </c>
      <c r="F109" s="36">
        <v>22476</v>
      </c>
      <c r="G109" s="38" t="s">
        <v>455</v>
      </c>
      <c r="H109" s="38" t="s">
        <v>1151</v>
      </c>
      <c r="I109" s="36" t="s">
        <v>304</v>
      </c>
      <c r="J109" s="43" t="s">
        <v>456</v>
      </c>
      <c r="K109" s="36" t="s">
        <v>457</v>
      </c>
      <c r="L109" s="40">
        <v>5000</v>
      </c>
      <c r="M109" s="36">
        <v>6840</v>
      </c>
      <c r="N109" s="41">
        <v>43860</v>
      </c>
      <c r="O109" s="38"/>
      <c r="P109" s="38"/>
      <c r="Q109" s="176" t="e">
        <f>MONTH([1]!Tableau13[[#This Row],[Date début]])</f>
        <v>#REF!</v>
      </c>
      <c r="R109" s="180" t="e">
        <f>YEAR([1]!Tableau13[[#This Row],[Date début]])</f>
        <v>#REF!</v>
      </c>
    </row>
    <row r="110" spans="1:18" ht="15.75" customHeight="1">
      <c r="A110" s="35">
        <v>43848</v>
      </c>
      <c r="B110" s="36">
        <v>477</v>
      </c>
      <c r="C110" s="37" t="str">
        <f>IF(ISNA(VLOOKUP(Tableau13[[#This Row],[Code]],'Code Véhicule'!$A$4:$C$185,2,0)),"",VLOOKUP(Tableau13[[#This Row],[Code]],'Code Véhicule'!$A$4:$C$185,2,0))</f>
        <v>Chariot elevateur</v>
      </c>
      <c r="D110" s="38" t="str">
        <f>IF(ISNA(VLOOKUP(Tableau13[[#This Row],[Code]],'Code Véhicule'!$A$4:$C$185,3,0)),"",VLOOKUP(Tableau13[[#This Row],[Code]],'Code Véhicule'!$A$4:$C$185,3,0))</f>
        <v>Linde H30D</v>
      </c>
      <c r="E110" s="36" t="str">
        <f>IF(ISNA(VLOOKUP(Tableau13[[#This Row],[Code]],'Code Véhicule'!$A$4:$D$185,4,0))," ",VLOOKUP(Tableau13[[#This Row],[Code]],'Code Véhicule'!$A$4:$D$185,4,0))</f>
        <v>-</v>
      </c>
      <c r="F110" s="36">
        <v>22199</v>
      </c>
      <c r="G110" s="38" t="s">
        <v>389</v>
      </c>
      <c r="H110" s="38"/>
      <c r="I110" s="36" t="s">
        <v>304</v>
      </c>
      <c r="J110" s="43" t="s">
        <v>347</v>
      </c>
      <c r="K110" s="36">
        <v>141280</v>
      </c>
      <c r="L110" s="40">
        <v>60</v>
      </c>
      <c r="M110" s="36">
        <v>60</v>
      </c>
      <c r="N110" s="35">
        <v>43848</v>
      </c>
      <c r="O110" s="38"/>
      <c r="P110" s="38"/>
      <c r="Q110" s="176" t="e">
        <f>MONTH([1]!Tableau13[[#This Row],[Date début]])</f>
        <v>#REF!</v>
      </c>
      <c r="R110" s="180" t="e">
        <f>YEAR([1]!Tableau13[[#This Row],[Date début]])</f>
        <v>#REF!</v>
      </c>
    </row>
    <row r="111" spans="1:18">
      <c r="A111" s="35">
        <v>43850</v>
      </c>
      <c r="B111" s="36">
        <v>479</v>
      </c>
      <c r="C111" s="37" t="str">
        <f>IF(ISNA(VLOOKUP(Tableau13[[#This Row],[Code]],'Code Véhicule'!$A$4:$C$185,2,0)),"",VLOOKUP(Tableau13[[#This Row],[Code]],'Code Véhicule'!$A$4:$C$185,2,0))</f>
        <v>Bus de transport</v>
      </c>
      <c r="D111" s="38" t="str">
        <f>IF(ISNA(VLOOKUP(Tableau13[[#This Row],[Code]],'Code Véhicule'!$A$4:$C$185,3,0)),"",VLOOKUP(Tableau13[[#This Row],[Code]],'Code Véhicule'!$A$4:$C$185,3,0))</f>
        <v>Hyundai County</v>
      </c>
      <c r="E111" s="36" t="str">
        <f>IF(ISNA(VLOOKUP(Tableau13[[#This Row],[Code]],'Code Véhicule'!$A$4:$D$185,4,0))," ",VLOOKUP(Tableau13[[#This Row],[Code]],'Code Véhicule'!$A$4:$D$185,4,0))</f>
        <v>22772-A-73</v>
      </c>
      <c r="F111" s="36">
        <v>22470</v>
      </c>
      <c r="G111" s="38" t="s">
        <v>393</v>
      </c>
      <c r="H111" s="38"/>
      <c r="I111" s="36" t="s">
        <v>302</v>
      </c>
      <c r="J111" s="43" t="s">
        <v>354</v>
      </c>
      <c r="K111" s="36"/>
      <c r="L111" s="40"/>
      <c r="M111" s="36"/>
      <c r="N111" s="35">
        <v>43850</v>
      </c>
      <c r="O111" s="38"/>
      <c r="P111" s="38"/>
      <c r="Q111" s="176" t="e">
        <f>MONTH([1]!Tableau13[[#This Row],[Date début]])</f>
        <v>#REF!</v>
      </c>
      <c r="R111" s="180" t="e">
        <f>YEAR([1]!Tableau13[[#This Row],[Date début]])</f>
        <v>#REF!</v>
      </c>
    </row>
    <row r="112" spans="1:18" ht="15.75" customHeight="1">
      <c r="A112" s="35">
        <v>43850</v>
      </c>
      <c r="B112" s="36">
        <v>407</v>
      </c>
      <c r="C112" s="37" t="str">
        <f>IF(ISNA(VLOOKUP(Tableau13[[#This Row],[Code]],'Code Véhicule'!$A$4:$C$185,2,0)),"",VLOOKUP(Tableau13[[#This Row],[Code]],'Code Véhicule'!$A$4:$C$185,2,0))</f>
        <v>Semi remorque</v>
      </c>
      <c r="D112" s="38" t="str">
        <f>IF(ISNA(VLOOKUP(Tableau13[[#This Row],[Code]],'Code Véhicule'!$A$4:$C$185,3,0)),"",VLOOKUP(Tableau13[[#This Row],[Code]],'Code Véhicule'!$A$4:$C$185,3,0))</f>
        <v>MAN</v>
      </c>
      <c r="E112" s="36" t="str">
        <f>IF(ISNA(VLOOKUP(Tableau13[[#This Row],[Code]],'Code Véhicule'!$A$4:$D$185,4,0))," ",VLOOKUP(Tableau13[[#This Row],[Code]],'Code Véhicule'!$A$4:$D$185,4,0))</f>
        <v>706-A-73</v>
      </c>
      <c r="F112" s="36">
        <v>22474</v>
      </c>
      <c r="G112" s="38" t="s">
        <v>403</v>
      </c>
      <c r="H112" s="38"/>
      <c r="I112" s="36" t="s">
        <v>304</v>
      </c>
      <c r="J112" s="43" t="s">
        <v>362</v>
      </c>
      <c r="K112" s="36"/>
      <c r="L112" s="40"/>
      <c r="M112" s="36"/>
      <c r="N112" s="35">
        <v>43850</v>
      </c>
      <c r="O112" s="38"/>
      <c r="P112" s="38"/>
      <c r="Q112" s="176" t="e">
        <f>MONTH([1]!Tableau13[[#This Row],[Date début]])</f>
        <v>#REF!</v>
      </c>
      <c r="R112" s="180" t="e">
        <f>YEAR([1]!Tableau13[[#This Row],[Date début]])</f>
        <v>#REF!</v>
      </c>
    </row>
    <row r="113" spans="1:18" ht="15.75" customHeight="1">
      <c r="A113" s="35">
        <v>43850</v>
      </c>
      <c r="B113" s="36">
        <v>430</v>
      </c>
      <c r="C113" s="37" t="str">
        <f>IF(ISNA(VLOOKUP(Tableau13[[#This Row],[Code]],'Code Véhicule'!$A$4:$C$185,2,0)),"",VLOOKUP(Tableau13[[#This Row],[Code]],'Code Véhicule'!$A$4:$C$185,2,0))</f>
        <v>Chariot elevateur</v>
      </c>
      <c r="D113" s="38" t="str">
        <f>IF(ISNA(VLOOKUP(Tableau13[[#This Row],[Code]],'Code Véhicule'!$A$4:$C$185,3,0)),"",VLOOKUP(Tableau13[[#This Row],[Code]],'Code Véhicule'!$A$4:$C$185,3,0))</f>
        <v>Fenwick  H40</v>
      </c>
      <c r="E113" s="36" t="str">
        <f>IF(ISNA(VLOOKUP(Tableau13[[#This Row],[Code]],'Code Véhicule'!$A$4:$D$185,4,0))," ",VLOOKUP(Tableau13[[#This Row],[Code]],'Code Véhicule'!$A$4:$D$185,4,0))</f>
        <v>-</v>
      </c>
      <c r="F113" s="36">
        <v>22401</v>
      </c>
      <c r="G113" s="38" t="s">
        <v>389</v>
      </c>
      <c r="H113" s="38"/>
      <c r="I113" s="36" t="s">
        <v>304</v>
      </c>
      <c r="J113" s="43" t="s">
        <v>383</v>
      </c>
      <c r="K113" s="36">
        <v>142320</v>
      </c>
      <c r="L113" s="40">
        <v>60</v>
      </c>
      <c r="M113" s="36">
        <v>60</v>
      </c>
      <c r="N113" s="35">
        <v>43850</v>
      </c>
      <c r="O113" s="38"/>
      <c r="P113" s="38"/>
      <c r="Q113" s="176" t="e">
        <f>MONTH([1]!Tableau13[[#This Row],[Date début]])</f>
        <v>#REF!</v>
      </c>
      <c r="R113" s="180" t="e">
        <f>YEAR([1]!Tableau13[[#This Row],[Date début]])</f>
        <v>#REF!</v>
      </c>
    </row>
    <row r="114" spans="1:18" ht="30" customHeight="1">
      <c r="A114" s="35">
        <v>43850</v>
      </c>
      <c r="B114" s="36">
        <v>421</v>
      </c>
      <c r="C114" s="37" t="str">
        <f>IF(ISNA(VLOOKUP(Tableau13[[#This Row],[Code]],'Code Véhicule'!$A$4:$C$185,2,0)),"",VLOOKUP(Tableau13[[#This Row],[Code]],'Code Véhicule'!$A$4:$C$185,2,0))</f>
        <v>Chariot elevateur</v>
      </c>
      <c r="D114" s="38" t="str">
        <f>IF(ISNA(VLOOKUP(Tableau13[[#This Row],[Code]],'Code Véhicule'!$A$4:$C$185,3,0)),"",VLOOKUP(Tableau13[[#This Row],[Code]],'Code Véhicule'!$A$4:$C$185,3,0))</f>
        <v>Linde H30</v>
      </c>
      <c r="E114" s="36" t="str">
        <f>IF(ISNA(VLOOKUP(Tableau13[[#This Row],[Code]],'Code Véhicule'!$A$4:$D$185,4,0))," ",VLOOKUP(Tableau13[[#This Row],[Code]],'Code Véhicule'!$A$4:$D$185,4,0))</f>
        <v>-</v>
      </c>
      <c r="F114" s="36">
        <v>22402</v>
      </c>
      <c r="G114" s="38" t="s">
        <v>393</v>
      </c>
      <c r="H114" s="38"/>
      <c r="I114" s="36" t="s">
        <v>302</v>
      </c>
      <c r="J114" s="43" t="s">
        <v>384</v>
      </c>
      <c r="K114" s="36" t="s">
        <v>385</v>
      </c>
      <c r="L114" s="40">
        <v>30</v>
      </c>
      <c r="M114" s="36">
        <v>30</v>
      </c>
      <c r="N114" s="35">
        <v>43850</v>
      </c>
      <c r="O114" s="38"/>
      <c r="P114" s="38"/>
      <c r="Q114" s="176" t="e">
        <f>MONTH([1]!Tableau13[[#This Row],[Date début]])</f>
        <v>#REF!</v>
      </c>
      <c r="R114" s="180" t="e">
        <f>YEAR([1]!Tableau13[[#This Row],[Date début]])</f>
        <v>#REF!</v>
      </c>
    </row>
    <row r="115" spans="1:18" ht="30" customHeight="1">
      <c r="A115" s="35">
        <v>43851</v>
      </c>
      <c r="B115" s="36">
        <v>401</v>
      </c>
      <c r="C115" s="37" t="str">
        <f>IF(ISNA(VLOOKUP(Tableau13[[#This Row],[Code]],'Code Véhicule'!$A$4:$C$185,2,0)),"",VLOOKUP(Tableau13[[#This Row],[Code]],'Code Véhicule'!$A$4:$C$185,2,0))</f>
        <v>Camion</v>
      </c>
      <c r="D115" s="38" t="str">
        <f>IF(ISNA(VLOOKUP(Tableau13[[#This Row],[Code]],'Code Véhicule'!$A$4:$C$185,3,0)),"",VLOOKUP(Tableau13[[#This Row],[Code]],'Code Véhicule'!$A$4:$C$185,3,0))</f>
        <v>ISUZU</v>
      </c>
      <c r="E115" s="36" t="str">
        <f>IF(ISNA(VLOOKUP(Tableau13[[#This Row],[Code]],'Code Véhicule'!$A$4:$D$185,4,0))," ",VLOOKUP(Tableau13[[#This Row],[Code]],'Code Véhicule'!$A$4:$D$185,4,0))</f>
        <v>26128-A-8</v>
      </c>
      <c r="F115" s="36"/>
      <c r="G115" s="38" t="s">
        <v>353</v>
      </c>
      <c r="H115" s="38"/>
      <c r="I115" s="36" t="s">
        <v>304</v>
      </c>
      <c r="J115" s="90" t="s">
        <v>449</v>
      </c>
      <c r="K115" s="36"/>
      <c r="L115" s="40"/>
      <c r="M115" s="36"/>
      <c r="N115" s="35">
        <v>43851</v>
      </c>
      <c r="O115" s="38"/>
      <c r="P115" s="38"/>
      <c r="Q115" s="176" t="e">
        <f>MONTH([1]!Tableau13[[#This Row],[Date début]])</f>
        <v>#REF!</v>
      </c>
      <c r="R115" s="180" t="e">
        <f>YEAR([1]!Tableau13[[#This Row],[Date début]])</f>
        <v>#REF!</v>
      </c>
    </row>
    <row r="116" spans="1:18">
      <c r="A116" s="35">
        <v>43851</v>
      </c>
      <c r="B116" s="36">
        <v>471</v>
      </c>
      <c r="C116" s="37" t="str">
        <f>IF(ISNA(VLOOKUP(Tableau13[[#This Row],[Code]],'Code Véhicule'!$A$4:$C$185,2,0)),"",VLOOKUP(Tableau13[[#This Row],[Code]],'Code Véhicule'!$A$4:$C$185,2,0))</f>
        <v>Bus de transport</v>
      </c>
      <c r="D116" s="38" t="str">
        <f>IF(ISNA(VLOOKUP(Tableau13[[#This Row],[Code]],'Code Véhicule'!$A$4:$C$185,3,0)),"",VLOOKUP(Tableau13[[#This Row],[Code]],'Code Véhicule'!$A$4:$C$185,3,0))</f>
        <v xml:space="preserve">Hyundai County </v>
      </c>
      <c r="E116" s="36" t="str">
        <f>IF(ISNA(VLOOKUP(Tableau13[[#This Row],[Code]],'Code Véhicule'!$A$4:$D$185,4,0))," ",VLOOKUP(Tableau13[[#This Row],[Code]],'Code Véhicule'!$A$4:$D$185,4,0))</f>
        <v>18516-A-73</v>
      </c>
      <c r="F116" s="36">
        <v>22472</v>
      </c>
      <c r="G116" s="38" t="s">
        <v>389</v>
      </c>
      <c r="H116" s="38"/>
      <c r="I116" s="36" t="s">
        <v>304</v>
      </c>
      <c r="J116" s="36" t="s">
        <v>361</v>
      </c>
      <c r="K116" s="36"/>
      <c r="L116" s="40"/>
      <c r="M116" s="36"/>
      <c r="N116" s="35">
        <v>43851</v>
      </c>
      <c r="O116" s="38"/>
      <c r="P116" s="38"/>
      <c r="Q116" s="176" t="e">
        <f>MONTH([1]!Tableau13[[#This Row],[Date début]])</f>
        <v>#REF!</v>
      </c>
      <c r="R116" s="180" t="e">
        <f>YEAR([1]!Tableau13[[#This Row],[Date début]])</f>
        <v>#REF!</v>
      </c>
    </row>
    <row r="117" spans="1:18" ht="30" customHeight="1">
      <c r="A117" s="35">
        <v>43851</v>
      </c>
      <c r="B117" s="36">
        <v>436</v>
      </c>
      <c r="C117" s="37" t="str">
        <f>IF(ISNA(VLOOKUP(Tableau13[[#This Row],[Code]],'Code Véhicule'!$A$4:$C$185,2,0)),"",VLOOKUP(Tableau13[[#This Row],[Code]],'Code Véhicule'!$A$4:$C$185,2,0))</f>
        <v>Camion</v>
      </c>
      <c r="D117" s="38" t="str">
        <f>IF(ISNA(VLOOKUP(Tableau13[[#This Row],[Code]],'Code Véhicule'!$A$4:$C$185,3,0)),"",VLOOKUP(Tableau13[[#This Row],[Code]],'Code Véhicule'!$A$4:$C$185,3,0))</f>
        <v>Mitsubishi</v>
      </c>
      <c r="E117" s="36" t="str">
        <f>IF(ISNA(VLOOKUP(Tableau13[[#This Row],[Code]],'Code Véhicule'!$A$4:$D$185,4,0))," ",VLOOKUP(Tableau13[[#This Row],[Code]],'Code Véhicule'!$A$4:$D$185,4,0))</f>
        <v>11470-A-73</v>
      </c>
      <c r="F117" s="36">
        <v>22478</v>
      </c>
      <c r="G117" s="38" t="s">
        <v>455</v>
      </c>
      <c r="H117" s="38"/>
      <c r="I117" s="36" t="s">
        <v>304</v>
      </c>
      <c r="J117" s="36" t="s">
        <v>460</v>
      </c>
      <c r="K117" s="36" t="s">
        <v>461</v>
      </c>
      <c r="L117" s="40">
        <v>1470</v>
      </c>
      <c r="M117" s="36">
        <v>1470</v>
      </c>
      <c r="N117" s="41">
        <v>43855</v>
      </c>
      <c r="O117" s="38"/>
      <c r="P117" s="38"/>
      <c r="Q117" s="176" t="e">
        <f>MONTH([1]!Tableau13[[#This Row],[Date début]])</f>
        <v>#REF!</v>
      </c>
      <c r="R117" s="180" t="e">
        <f>YEAR([1]!Tableau13[[#This Row],[Date début]])</f>
        <v>#REF!</v>
      </c>
    </row>
    <row r="118" spans="1:18" ht="15.75" customHeight="1">
      <c r="A118" s="35">
        <v>43852</v>
      </c>
      <c r="B118" s="36">
        <v>480</v>
      </c>
      <c r="C118" s="37" t="str">
        <f>IF(ISNA(VLOOKUP(Tableau13[[#This Row],[Code]],'Code Véhicule'!$A$4:$C$185,2,0)),"",VLOOKUP(Tableau13[[#This Row],[Code]],'Code Véhicule'!$A$4:$C$185,2,0))</f>
        <v>Camion</v>
      </c>
      <c r="D118" s="38" t="str">
        <f>IF(ISNA(VLOOKUP(Tableau13[[#This Row],[Code]],'Code Véhicule'!$A$4:$C$185,3,0)),"",VLOOKUP(Tableau13[[#This Row],[Code]],'Code Véhicule'!$A$4:$C$185,3,0))</f>
        <v>VOLVO</v>
      </c>
      <c r="E118" s="36" t="str">
        <f>IF(ISNA(VLOOKUP(Tableau13[[#This Row],[Code]],'Code Véhicule'!$A$4:$D$185,4,0))," ",VLOOKUP(Tableau13[[#This Row],[Code]],'Code Véhicule'!$A$4:$D$185,4,0))</f>
        <v>22299-A-73</v>
      </c>
      <c r="F118" s="36">
        <v>22473</v>
      </c>
      <c r="G118" s="38" t="s">
        <v>389</v>
      </c>
      <c r="H118" s="38"/>
      <c r="I118" s="36" t="s">
        <v>304</v>
      </c>
      <c r="J118" s="36" t="s">
        <v>361</v>
      </c>
      <c r="K118" s="36"/>
      <c r="L118" s="40"/>
      <c r="M118" s="36"/>
      <c r="N118" s="35">
        <v>43852</v>
      </c>
      <c r="O118" s="38"/>
      <c r="P118" s="38"/>
      <c r="Q118" s="176" t="e">
        <f>MONTH([1]!Tableau13[[#This Row],[Date début]])</f>
        <v>#REF!</v>
      </c>
      <c r="R118" s="180" t="e">
        <f>YEAR([1]!Tableau13[[#This Row],[Date début]])</f>
        <v>#REF!</v>
      </c>
    </row>
    <row r="119" spans="1:18" ht="30" customHeight="1">
      <c r="A119" s="35">
        <v>43853</v>
      </c>
      <c r="B119" s="36">
        <v>426</v>
      </c>
      <c r="C119" s="37" t="str">
        <f>IF(ISNA(VLOOKUP(Tableau13[[#This Row],[Code]],'Code Véhicule'!$A$4:$C$185,2,0)),"",VLOOKUP(Tableau13[[#This Row],[Code]],'Code Véhicule'!$A$4:$C$185,2,0))</f>
        <v>Chariot elevateur</v>
      </c>
      <c r="D119" s="38" t="str">
        <f>IF(ISNA(VLOOKUP(Tableau13[[#This Row],[Code]],'Code Véhicule'!$A$4:$C$185,3,0)),"",VLOOKUP(Tableau13[[#This Row],[Code]],'Code Véhicule'!$A$4:$C$185,3,0))</f>
        <v>Manitou MC 30</v>
      </c>
      <c r="E119" s="36" t="str">
        <f>IF(ISNA(VLOOKUP(Tableau13[[#This Row],[Code]],'Code Véhicule'!$A$4:$D$185,4,0))," ",VLOOKUP(Tableau13[[#This Row],[Code]],'Code Véhicule'!$A$4:$D$185,4,0))</f>
        <v>-</v>
      </c>
      <c r="F119" s="36">
        <v>22409</v>
      </c>
      <c r="G119" s="38" t="s">
        <v>455</v>
      </c>
      <c r="H119" s="38"/>
      <c r="I119" s="36" t="s">
        <v>304</v>
      </c>
      <c r="J119" s="36" t="s">
        <v>497</v>
      </c>
      <c r="K119" s="36"/>
      <c r="L119" s="40"/>
      <c r="M119" s="36"/>
      <c r="N119" s="36"/>
      <c r="O119" s="38"/>
      <c r="P119" s="38"/>
      <c r="Q119" s="176" t="e">
        <f>MONTH([1]!Tableau13[[#This Row],[Date début]])</f>
        <v>#REF!</v>
      </c>
      <c r="R119" s="180" t="e">
        <f>YEAR([1]!Tableau13[[#This Row],[Date début]])</f>
        <v>#REF!</v>
      </c>
    </row>
    <row r="120" spans="1:18" ht="45">
      <c r="A120" s="35">
        <v>43854</v>
      </c>
      <c r="B120" s="36">
        <v>479</v>
      </c>
      <c r="C120" s="37" t="str">
        <f>IF(ISNA(VLOOKUP(Tableau13[[#This Row],[Code]],'Code Véhicule'!$A$4:$C$185,2,0)),"",VLOOKUP(Tableau13[[#This Row],[Code]],'Code Véhicule'!$A$4:$C$185,2,0))</f>
        <v>Bus de transport</v>
      </c>
      <c r="D120" s="38" t="str">
        <f>IF(ISNA(VLOOKUP(Tableau13[[#This Row],[Code]],'Code Véhicule'!$A$4:$C$185,3,0)),"",VLOOKUP(Tableau13[[#This Row],[Code]],'Code Véhicule'!$A$4:$C$185,3,0))</f>
        <v>Hyundai County</v>
      </c>
      <c r="E120" s="36" t="str">
        <f>IF(ISNA(VLOOKUP(Tableau13[[#This Row],[Code]],'Code Véhicule'!$A$4:$D$185,4,0))," ",VLOOKUP(Tableau13[[#This Row],[Code]],'Code Véhicule'!$A$4:$D$185,4,0))</f>
        <v>22772-A-73</v>
      </c>
      <c r="F120" s="36">
        <v>22477</v>
      </c>
      <c r="G120" s="38" t="s">
        <v>388</v>
      </c>
      <c r="H120" s="38"/>
      <c r="I120" s="36" t="s">
        <v>304</v>
      </c>
      <c r="J120" s="36" t="s">
        <v>458</v>
      </c>
      <c r="K120" s="36">
        <v>142340</v>
      </c>
      <c r="L120" s="40">
        <v>120</v>
      </c>
      <c r="M120" s="36">
        <v>120</v>
      </c>
      <c r="N120" s="41">
        <v>43854</v>
      </c>
      <c r="O120" s="38"/>
      <c r="P120" s="38"/>
      <c r="Q120" s="176" t="e">
        <f>MONTH([1]!Tableau13[[#This Row],[Date début]])</f>
        <v>#REF!</v>
      </c>
      <c r="R120" s="180" t="e">
        <f>YEAR([1]!Tableau13[[#This Row],[Date début]])</f>
        <v>#REF!</v>
      </c>
    </row>
    <row r="121" spans="1:18" ht="30" customHeight="1">
      <c r="A121" s="35">
        <v>43855</v>
      </c>
      <c r="B121" s="36">
        <v>434</v>
      </c>
      <c r="C121" s="37" t="str">
        <f>IF(ISNA(VLOOKUP(Tableau13[[#This Row],[Code]],'Code Véhicule'!$A$4:$C$185,2,0)),"",VLOOKUP(Tableau13[[#This Row],[Code]],'Code Véhicule'!$A$4:$C$185,2,0))</f>
        <v>Chariot elevateur</v>
      </c>
      <c r="D121" s="38" t="str">
        <f>IF(ISNA(VLOOKUP(Tableau13[[#This Row],[Code]],'Code Véhicule'!$A$4:$C$185,3,0)),"",VLOOKUP(Tableau13[[#This Row],[Code]],'Code Véhicule'!$A$4:$C$185,3,0))</f>
        <v>Linde H30D</v>
      </c>
      <c r="E121" s="36" t="str">
        <f>IF(ISNA(VLOOKUP(Tableau13[[#This Row],[Code]],'Code Véhicule'!$A$4:$D$185,4,0))," ",VLOOKUP(Tableau13[[#This Row],[Code]],'Code Véhicule'!$A$4:$D$185,4,0))</f>
        <v>-</v>
      </c>
      <c r="F121" s="36">
        <v>22403</v>
      </c>
      <c r="G121" s="38" t="s">
        <v>389</v>
      </c>
      <c r="H121" s="38"/>
      <c r="I121" s="36" t="s">
        <v>304</v>
      </c>
      <c r="J121" s="36" t="s">
        <v>488</v>
      </c>
      <c r="K121" s="36" t="s">
        <v>489</v>
      </c>
      <c r="L121" s="40">
        <v>570</v>
      </c>
      <c r="M121" s="36">
        <v>570</v>
      </c>
      <c r="N121" s="41">
        <v>43855</v>
      </c>
      <c r="O121" s="38"/>
      <c r="P121" s="38"/>
      <c r="Q121" s="176" t="e">
        <f>MONTH([1]!Tableau13[[#This Row],[Date début]])</f>
        <v>#REF!</v>
      </c>
      <c r="R121" s="180" t="e">
        <f>YEAR([1]!Tableau13[[#This Row],[Date début]])</f>
        <v>#REF!</v>
      </c>
    </row>
    <row r="122" spans="1:18" ht="15.75" customHeight="1">
      <c r="A122" s="35">
        <v>43857</v>
      </c>
      <c r="B122" s="36">
        <v>403</v>
      </c>
      <c r="C122" s="37" t="str">
        <f>IF(ISNA(VLOOKUP(Tableau13[[#This Row],[Code]],'Code Véhicule'!$A$4:$C$185,2,0)),"",VLOOKUP(Tableau13[[#This Row],[Code]],'Code Véhicule'!$A$4:$C$185,2,0))</f>
        <v>Camion</v>
      </c>
      <c r="D122" s="38"/>
      <c r="E122" s="36" t="str">
        <f>IF(ISNA(VLOOKUP(Tableau13[[#This Row],[Code]],'Code Véhicule'!$A$4:$D$185,4,0))," ",VLOOKUP(Tableau13[[#This Row],[Code]],'Code Véhicule'!$A$4:$D$185,4,0))</f>
        <v>4790-B-8</v>
      </c>
      <c r="F122" s="36">
        <v>22480</v>
      </c>
      <c r="G122" s="38" t="s">
        <v>389</v>
      </c>
      <c r="H122" s="38"/>
      <c r="I122" s="36" t="s">
        <v>304</v>
      </c>
      <c r="J122" s="36" t="s">
        <v>462</v>
      </c>
      <c r="K122" s="36">
        <v>143106</v>
      </c>
      <c r="L122" s="40">
        <v>120</v>
      </c>
      <c r="M122" s="36">
        <v>120</v>
      </c>
      <c r="N122" s="41">
        <v>43857</v>
      </c>
      <c r="O122" s="38"/>
      <c r="P122" s="38"/>
      <c r="Q122" s="176" t="e">
        <f>MONTH([1]!Tableau13[[#This Row],[Date début]])</f>
        <v>#REF!</v>
      </c>
      <c r="R122" s="180" t="e">
        <f>YEAR([1]!Tableau13[[#This Row],[Date début]])</f>
        <v>#REF!</v>
      </c>
    </row>
    <row r="123" spans="1:18" ht="15.75" customHeight="1">
      <c r="A123" s="35">
        <v>43857</v>
      </c>
      <c r="B123" s="36">
        <v>414</v>
      </c>
      <c r="C123" s="37" t="str">
        <f>IF(ISNA(VLOOKUP(Tableau13[[#This Row],[Code]],'Code Véhicule'!$A$4:$C$185,2,0)),"",VLOOKUP(Tableau13[[#This Row],[Code]],'Code Véhicule'!$A$4:$C$185,2,0))</f>
        <v>Balayeuse</v>
      </c>
      <c r="D123" s="38" t="str">
        <f>IF(ISNA(VLOOKUP(Tableau13[[#This Row],[Code]],'Code Véhicule'!$A$4:$C$185,3,0)),"",VLOOKUP(Tableau13[[#This Row],[Code]],'Code Véhicule'!$A$4:$C$185,3,0))</f>
        <v>Bobcat</v>
      </c>
      <c r="E123" s="36" t="str">
        <f>IF(ISNA(VLOOKUP(Tableau13[[#This Row],[Code]],'Code Véhicule'!$A$4:$D$185,4,0))," ",VLOOKUP(Tableau13[[#This Row],[Code]],'Code Véhicule'!$A$4:$D$185,4,0))</f>
        <v>-</v>
      </c>
      <c r="F123" s="36">
        <v>22404</v>
      </c>
      <c r="G123" s="38" t="s">
        <v>490</v>
      </c>
      <c r="H123" s="38"/>
      <c r="I123" s="36" t="s">
        <v>304</v>
      </c>
      <c r="J123" s="36" t="s">
        <v>491</v>
      </c>
      <c r="K123" s="36">
        <v>143104</v>
      </c>
      <c r="L123" s="40">
        <v>60</v>
      </c>
      <c r="M123" s="36">
        <v>60</v>
      </c>
      <c r="N123" s="41">
        <v>43857</v>
      </c>
      <c r="O123" s="38"/>
      <c r="P123" s="38"/>
      <c r="Q123" s="176" t="e">
        <f>MONTH([1]!Tableau13[[#This Row],[Date début]])</f>
        <v>#REF!</v>
      </c>
      <c r="R123" s="180" t="e">
        <f>YEAR([1]!Tableau13[[#This Row],[Date début]])</f>
        <v>#REF!</v>
      </c>
    </row>
    <row r="124" spans="1:18" ht="45">
      <c r="A124" s="35">
        <v>43857</v>
      </c>
      <c r="B124" s="36">
        <v>471</v>
      </c>
      <c r="C124" s="37" t="str">
        <f>IF(ISNA(VLOOKUP(Tableau13[[#This Row],[Code]],'Code Véhicule'!$A$4:$C$185,2,0)),"",VLOOKUP(Tableau13[[#This Row],[Code]],'Code Véhicule'!$A$4:$C$185,2,0))</f>
        <v>Bus de transport</v>
      </c>
      <c r="D124" s="38" t="str">
        <f>IF(ISNA(VLOOKUP(Tableau13[[#This Row],[Code]],'Code Véhicule'!$A$4:$C$185,3,0)),"",VLOOKUP(Tableau13[[#This Row],[Code]],'Code Véhicule'!$A$4:$C$185,3,0))</f>
        <v xml:space="preserve">Hyundai County </v>
      </c>
      <c r="E124" s="36" t="str">
        <f>IF(ISNA(VLOOKUP(Tableau13[[#This Row],[Code]],'Code Véhicule'!$A$4:$D$185,4,0))," ",VLOOKUP(Tableau13[[#This Row],[Code]],'Code Véhicule'!$A$4:$D$185,4,0))</f>
        <v>18516-A-73</v>
      </c>
      <c r="F124" s="36">
        <v>22405</v>
      </c>
      <c r="G124" s="38" t="s">
        <v>397</v>
      </c>
      <c r="H124" s="38"/>
      <c r="I124" s="36" t="s">
        <v>304</v>
      </c>
      <c r="J124" s="36" t="s">
        <v>578</v>
      </c>
      <c r="K124" s="36" t="s">
        <v>492</v>
      </c>
      <c r="L124" s="40">
        <v>360</v>
      </c>
      <c r="M124" s="36">
        <v>360</v>
      </c>
      <c r="N124" s="41">
        <v>43857</v>
      </c>
      <c r="O124" s="38"/>
      <c r="P124" s="38"/>
      <c r="Q124" s="176" t="e">
        <f>MONTH([1]!Tableau13[[#This Row],[Date début]])</f>
        <v>#REF!</v>
      </c>
      <c r="R124" s="180" t="e">
        <f>YEAR([1]!Tableau13[[#This Row],[Date début]])</f>
        <v>#REF!</v>
      </c>
    </row>
    <row r="125" spans="1:18" ht="30" customHeight="1">
      <c r="A125" s="35">
        <v>43858</v>
      </c>
      <c r="B125" s="36">
        <v>428</v>
      </c>
      <c r="C125" s="37" t="str">
        <f>IF(ISNA(VLOOKUP(Tableau13[[#This Row],[Code]],'Code Véhicule'!$A$4:$C$185,2,0)),"",VLOOKUP(Tableau13[[#This Row],[Code]],'Code Véhicule'!$A$4:$C$185,2,0))</f>
        <v>Chariot elevateur</v>
      </c>
      <c r="D125" s="38" t="str">
        <f>IF(ISNA(VLOOKUP(Tableau13[[#This Row],[Code]],'Code Véhicule'!$A$4:$C$185,3,0)),"",VLOOKUP(Tableau13[[#This Row],[Code]],'Code Véhicule'!$A$4:$C$185,3,0))</f>
        <v>Linde H30</v>
      </c>
      <c r="E125" s="36" t="str">
        <f>IF(ISNA(VLOOKUP(Tableau13[[#This Row],[Code]],'Code Véhicule'!$A$4:$D$185,4,0))," ",VLOOKUP(Tableau13[[#This Row],[Code]],'Code Véhicule'!$A$4:$D$185,4,0))</f>
        <v>-</v>
      </c>
      <c r="F125" s="36">
        <v>22406</v>
      </c>
      <c r="G125" s="38" t="s">
        <v>493</v>
      </c>
      <c r="H125" s="38"/>
      <c r="I125" s="36" t="s">
        <v>304</v>
      </c>
      <c r="J125" s="36" t="s">
        <v>494</v>
      </c>
      <c r="K125" s="36" t="s">
        <v>495</v>
      </c>
      <c r="L125" s="40">
        <v>180</v>
      </c>
      <c r="M125" s="36">
        <v>180</v>
      </c>
      <c r="N125" s="41">
        <v>43858</v>
      </c>
      <c r="O125" s="38"/>
      <c r="P125" s="38"/>
      <c r="Q125" s="176" t="e">
        <f>MONTH([1]!Tableau13[[#This Row],[Date début]])</f>
        <v>#REF!</v>
      </c>
      <c r="R125" s="180" t="e">
        <f>YEAR([1]!Tableau13[[#This Row],[Date début]])</f>
        <v>#REF!</v>
      </c>
    </row>
    <row r="126" spans="1:18" ht="15.75" customHeight="1">
      <c r="A126" s="35">
        <v>43859</v>
      </c>
      <c r="B126" s="36">
        <v>403</v>
      </c>
      <c r="C126" s="37" t="str">
        <f>IF(ISNA(VLOOKUP(Tableau13[[#This Row],[Code]],'Code Véhicule'!$A$4:$C$185,2,0)),"",VLOOKUP(Tableau13[[#This Row],[Code]],'Code Véhicule'!$A$4:$C$185,2,0))</f>
        <v>Camion</v>
      </c>
      <c r="D126" s="38" t="str">
        <f>IF(ISNA(VLOOKUP(Tableau13[[#This Row],[Code]],'Code Véhicule'!$A$4:$C$185,3,0)),"",VLOOKUP(Tableau13[[#This Row],[Code]],'Code Véhicule'!$A$4:$C$185,3,0))</f>
        <v>MAN</v>
      </c>
      <c r="E126" s="36" t="str">
        <f>IF(ISNA(VLOOKUP(Tableau13[[#This Row],[Code]],'Code Véhicule'!$A$4:$D$185,4,0))," ",VLOOKUP(Tableau13[[#This Row],[Code]],'Code Véhicule'!$A$4:$D$185,4,0))</f>
        <v>4790-B-8</v>
      </c>
      <c r="F126" s="36">
        <v>22482</v>
      </c>
      <c r="G126" s="38" t="s">
        <v>353</v>
      </c>
      <c r="H126" s="38"/>
      <c r="I126" s="36" t="s">
        <v>304</v>
      </c>
      <c r="J126" s="90" t="s">
        <v>464</v>
      </c>
      <c r="K126" s="36">
        <v>143116</v>
      </c>
      <c r="L126" s="40">
        <v>240</v>
      </c>
      <c r="M126" s="36">
        <v>240</v>
      </c>
      <c r="N126" s="41">
        <v>43859</v>
      </c>
      <c r="O126" s="38"/>
      <c r="P126" s="38"/>
      <c r="Q126" s="176" t="e">
        <f>MONTH([1]!Tableau13[[#This Row],[Date début]])</f>
        <v>#REF!</v>
      </c>
      <c r="R126" s="180" t="e">
        <f>YEAR([1]!Tableau13[[#This Row],[Date début]])</f>
        <v>#REF!</v>
      </c>
    </row>
    <row r="127" spans="1:18" ht="30" customHeight="1">
      <c r="A127" s="35">
        <v>43859</v>
      </c>
      <c r="B127" s="36">
        <v>406</v>
      </c>
      <c r="C127" s="37" t="str">
        <f>IF(ISNA(VLOOKUP(Tableau13[[#This Row],[Code]],'Code Véhicule'!$A$4:$C$185,2,0)),"",VLOOKUP(Tableau13[[#This Row],[Code]],'Code Véhicule'!$A$4:$C$185,2,0))</f>
        <v>Semi remorque</v>
      </c>
      <c r="D127" s="38" t="str">
        <f>IF(ISNA(VLOOKUP(Tableau13[[#This Row],[Code]],'Code Véhicule'!$A$4:$C$185,3,0)),"",VLOOKUP(Tableau13[[#This Row],[Code]],'Code Véhicule'!$A$4:$C$185,3,0))</f>
        <v>VOLVO</v>
      </c>
      <c r="E127" s="36" t="str">
        <f>IF(ISNA(VLOOKUP(Tableau13[[#This Row],[Code]],'Code Véhicule'!$A$4:$D$185,4,0))," ",VLOOKUP(Tableau13[[#This Row],[Code]],'Code Véhicule'!$A$4:$D$185,4,0))</f>
        <v>70352-A-6</v>
      </c>
      <c r="F127" s="36">
        <v>22484</v>
      </c>
      <c r="G127" s="38" t="s">
        <v>389</v>
      </c>
      <c r="H127" s="38"/>
      <c r="I127" s="36" t="s">
        <v>304</v>
      </c>
      <c r="J127" s="36" t="s">
        <v>467</v>
      </c>
      <c r="K127" s="36">
        <v>143119</v>
      </c>
      <c r="L127" s="40">
        <v>180</v>
      </c>
      <c r="M127" s="36">
        <v>180</v>
      </c>
      <c r="N127" s="41">
        <v>43859</v>
      </c>
      <c r="O127" s="38"/>
      <c r="P127" s="38"/>
      <c r="Q127" s="176" t="e">
        <f>MONTH([1]!Tableau13[[#This Row],[Date début]])</f>
        <v>#REF!</v>
      </c>
      <c r="R127" s="180" t="e">
        <f>YEAR([1]!Tableau13[[#This Row],[Date début]])</f>
        <v>#REF!</v>
      </c>
    </row>
    <row r="128" spans="1:18" ht="60" customHeight="1">
      <c r="A128" s="35">
        <v>43859</v>
      </c>
      <c r="B128" s="36">
        <v>414</v>
      </c>
      <c r="C128" s="37" t="str">
        <f>IF(ISNA(VLOOKUP(Tableau13[[#This Row],[Code]],'Code Véhicule'!$A$4:$C$185,2,0)),"",VLOOKUP(Tableau13[[#This Row],[Code]],'Code Véhicule'!$A$4:$C$185,2,0))</f>
        <v>Balayeuse</v>
      </c>
      <c r="D128" s="38" t="str">
        <f>IF(ISNA(VLOOKUP(Tableau13[[#This Row],[Code]],'Code Véhicule'!$A$4:$C$185,3,0)),"",VLOOKUP(Tableau13[[#This Row],[Code]],'Code Véhicule'!$A$4:$C$185,3,0))</f>
        <v>Bobcat</v>
      </c>
      <c r="E128" s="36" t="str">
        <f>IF(ISNA(VLOOKUP(Tableau13[[#This Row],[Code]],'Code Véhicule'!$A$4:$D$185,4,0))," ",VLOOKUP(Tableau13[[#This Row],[Code]],'Code Véhicule'!$A$4:$D$185,4,0))</f>
        <v>-</v>
      </c>
      <c r="F128" s="36">
        <v>22410</v>
      </c>
      <c r="G128" s="38" t="s">
        <v>455</v>
      </c>
      <c r="H128" s="38"/>
      <c r="I128" s="36" t="s">
        <v>304</v>
      </c>
      <c r="J128" s="36" t="s">
        <v>498</v>
      </c>
      <c r="K128" s="36" t="s">
        <v>499</v>
      </c>
      <c r="L128" s="40">
        <v>2850</v>
      </c>
      <c r="M128" s="36">
        <v>9120</v>
      </c>
      <c r="N128" s="41">
        <v>43877</v>
      </c>
      <c r="O128" s="38"/>
      <c r="P128" s="38"/>
      <c r="Q128" s="176" t="e">
        <f>MONTH([1]!Tableau13[[#This Row],[Date début]])</f>
        <v>#REF!</v>
      </c>
      <c r="R128" s="180" t="e">
        <f>YEAR([1]!Tableau13[[#This Row],[Date début]])</f>
        <v>#REF!</v>
      </c>
    </row>
    <row r="129" spans="1:18" ht="30" customHeight="1">
      <c r="A129" s="35">
        <v>43861</v>
      </c>
      <c r="B129" s="36">
        <v>435</v>
      </c>
      <c r="C129" s="37" t="str">
        <f>IF(ISNA(VLOOKUP(Tableau13[[#This Row],[Code]],'Code Véhicule'!$A$4:$C$185,2,0)),"",VLOOKUP(Tableau13[[#This Row],[Code]],'Code Véhicule'!$A$4:$C$185,2,0))</f>
        <v>Camion</v>
      </c>
      <c r="D129" s="38" t="str">
        <f>IF(ISNA(VLOOKUP(Tableau13[[#This Row],[Code]],'Code Véhicule'!$A$4:$C$185,3,0)),"",VLOOKUP(Tableau13[[#This Row],[Code]],'Code Véhicule'!$A$4:$C$185,3,0))</f>
        <v>Mitsubishi</v>
      </c>
      <c r="E129" s="36" t="str">
        <f>IF(ISNA(VLOOKUP(Tableau13[[#This Row],[Code]],'Code Véhicule'!$A$4:$D$185,4,0))," ",VLOOKUP(Tableau13[[#This Row],[Code]],'Code Véhicule'!$A$4:$D$185,4,0))</f>
        <v xml:space="preserve"> 11469-A-73</v>
      </c>
      <c r="F129" s="36">
        <v>22485</v>
      </c>
      <c r="G129" s="38" t="s">
        <v>393</v>
      </c>
      <c r="H129" s="38"/>
      <c r="I129" s="36" t="s">
        <v>302</v>
      </c>
      <c r="J129" s="36" t="s">
        <v>468</v>
      </c>
      <c r="K129" s="36">
        <v>143124</v>
      </c>
      <c r="L129" s="40">
        <v>60</v>
      </c>
      <c r="M129" s="36">
        <v>60</v>
      </c>
      <c r="N129" s="41">
        <v>43861</v>
      </c>
      <c r="O129" s="38"/>
      <c r="P129" s="38"/>
      <c r="Q129" s="176" t="e">
        <f>MONTH([1]!Tableau13[[#This Row],[Date début]])</f>
        <v>#REF!</v>
      </c>
      <c r="R129" s="180" t="e">
        <f>YEAR([1]!Tableau13[[#This Row],[Date début]])</f>
        <v>#REF!</v>
      </c>
    </row>
    <row r="130" spans="1:18" ht="15.75" customHeight="1">
      <c r="A130" s="35">
        <v>43862</v>
      </c>
      <c r="B130" s="36">
        <v>407</v>
      </c>
      <c r="C130" s="37" t="str">
        <f>IF(ISNA(VLOOKUP(Tableau13[[#This Row],[Code]],'Code Véhicule'!$A$4:$C$185,2,0)),"",VLOOKUP(Tableau13[[#This Row],[Code]],'Code Véhicule'!$A$4:$C$185,2,0))</f>
        <v>Semi remorque</v>
      </c>
      <c r="D130" s="38" t="str">
        <f>IF(ISNA(VLOOKUP(Tableau13[[#This Row],[Code]],'Code Véhicule'!$A$4:$C$185,3,0)),"",VLOOKUP(Tableau13[[#This Row],[Code]],'Code Véhicule'!$A$4:$C$185,3,0))</f>
        <v>MAN</v>
      </c>
      <c r="E130" s="36" t="str">
        <f>IF(ISNA(VLOOKUP(Tableau13[[#This Row],[Code]],'Code Véhicule'!$A$4:$D$185,4,0))," ",VLOOKUP(Tableau13[[#This Row],[Code]],'Code Véhicule'!$A$4:$D$185,4,0))</f>
        <v>706-A-73</v>
      </c>
      <c r="F130" s="36">
        <v>22486</v>
      </c>
      <c r="G130" s="38" t="s">
        <v>389</v>
      </c>
      <c r="H130" s="38"/>
      <c r="I130" s="36" t="s">
        <v>304</v>
      </c>
      <c r="J130" s="36" t="s">
        <v>469</v>
      </c>
      <c r="K130" s="36"/>
      <c r="L130" s="40">
        <v>120</v>
      </c>
      <c r="M130" s="36">
        <v>120</v>
      </c>
      <c r="N130" s="41">
        <v>43862</v>
      </c>
      <c r="O130" s="38"/>
      <c r="P130" s="38"/>
      <c r="Q130" s="176" t="e">
        <f>MONTH([1]!Tableau13[[#This Row],[Date début]])</f>
        <v>#REF!</v>
      </c>
      <c r="R130" s="180" t="e">
        <f>YEAR([1]!Tableau13[[#This Row],[Date début]])</f>
        <v>#REF!</v>
      </c>
    </row>
    <row r="131" spans="1:18" ht="45" customHeight="1">
      <c r="A131" s="35">
        <v>43862</v>
      </c>
      <c r="B131" s="36">
        <v>436</v>
      </c>
      <c r="C131" s="37" t="str">
        <f>IF(ISNA(VLOOKUP(Tableau13[[#This Row],[Code]],'Code Véhicule'!$A$4:$C$185,2,0)),"",VLOOKUP(Tableau13[[#This Row],[Code]],'Code Véhicule'!$A$4:$C$185,2,0))</f>
        <v>Camion</v>
      </c>
      <c r="D131" s="38" t="str">
        <f>IF(ISNA(VLOOKUP(Tableau13[[#This Row],[Code]],'Code Véhicule'!$A$4:$C$185,3,0)),"",VLOOKUP(Tableau13[[#This Row],[Code]],'Code Véhicule'!$A$4:$C$185,3,0))</f>
        <v>Mitsubishi</v>
      </c>
      <c r="E131" s="36" t="str">
        <f>IF(ISNA(VLOOKUP(Tableau13[[#This Row],[Code]],'Code Véhicule'!$A$4:$D$185,4,0))," ",VLOOKUP(Tableau13[[#This Row],[Code]],'Code Véhicule'!$A$4:$D$185,4,0))</f>
        <v>11470-A-73</v>
      </c>
      <c r="F131" s="36">
        <v>22487</v>
      </c>
      <c r="G131" s="38" t="s">
        <v>393</v>
      </c>
      <c r="H131" s="38"/>
      <c r="I131" s="36" t="s">
        <v>302</v>
      </c>
      <c r="J131" s="36" t="s">
        <v>470</v>
      </c>
      <c r="K131" s="36" t="s">
        <v>471</v>
      </c>
      <c r="L131" s="40">
        <v>120</v>
      </c>
      <c r="M131" s="36">
        <v>120</v>
      </c>
      <c r="N131" s="41">
        <v>43864</v>
      </c>
      <c r="O131" s="38"/>
      <c r="P131" s="38"/>
      <c r="Q131" s="176" t="e">
        <f>MONTH([1]!Tableau13[[#This Row],[Date début]])</f>
        <v>#REF!</v>
      </c>
      <c r="R131" s="180" t="e">
        <f>YEAR([1]!Tableau13[[#This Row],[Date début]])</f>
        <v>#REF!</v>
      </c>
    </row>
    <row r="132" spans="1:18" ht="30" customHeight="1">
      <c r="A132" s="35">
        <v>43862</v>
      </c>
      <c r="B132" s="36">
        <v>430</v>
      </c>
      <c r="C132" s="37" t="str">
        <f>IF(ISNA(VLOOKUP(Tableau13[[#This Row],[Code]],'Code Véhicule'!$A$4:$C$185,2,0)),"",VLOOKUP(Tableau13[[#This Row],[Code]],'Code Véhicule'!$A$4:$C$185,2,0))</f>
        <v>Chariot elevateur</v>
      </c>
      <c r="D132" s="38" t="str">
        <f>IF(ISNA(VLOOKUP(Tableau13[[#This Row],[Code]],'Code Véhicule'!$A$4:$C$185,3,0)),"",VLOOKUP(Tableau13[[#This Row],[Code]],'Code Véhicule'!$A$4:$C$185,3,0))</f>
        <v>Fenwick  H40</v>
      </c>
      <c r="E132" s="36" t="str">
        <f>IF(ISNA(VLOOKUP(Tableau13[[#This Row],[Code]],'Code Véhicule'!$A$4:$D$185,4,0))," ",VLOOKUP(Tableau13[[#This Row],[Code]],'Code Véhicule'!$A$4:$D$185,4,0))</f>
        <v>-</v>
      </c>
      <c r="F132" s="36">
        <v>22413</v>
      </c>
      <c r="G132" s="38" t="s">
        <v>393</v>
      </c>
      <c r="H132" s="38"/>
      <c r="I132" s="36" t="s">
        <v>302</v>
      </c>
      <c r="J132" s="36" t="s">
        <v>503</v>
      </c>
      <c r="K132" s="36">
        <v>144509</v>
      </c>
      <c r="L132" s="40">
        <v>120</v>
      </c>
      <c r="M132" s="36">
        <v>120</v>
      </c>
      <c r="N132" s="41">
        <v>43886</v>
      </c>
      <c r="O132" s="38"/>
      <c r="P132" s="38"/>
      <c r="Q132" s="176" t="e">
        <f>MONTH([1]!Tableau13[[#This Row],[Date début]])</f>
        <v>#REF!</v>
      </c>
      <c r="R132" s="180" t="e">
        <f>YEAR([1]!Tableau13[[#This Row],[Date début]])</f>
        <v>#REF!</v>
      </c>
    </row>
    <row r="133" spans="1:18" ht="15.75" customHeight="1">
      <c r="A133" s="35">
        <v>43863</v>
      </c>
      <c r="B133" s="36">
        <v>410</v>
      </c>
      <c r="C133" s="37" t="str">
        <f>IF(ISNA(VLOOKUP(Tableau13[[#This Row],[Code]],'Code Véhicule'!$A$4:$C$185,2,0)),"",VLOOKUP(Tableau13[[#This Row],[Code]],'Code Véhicule'!$A$4:$C$185,2,0))</f>
        <v>Semi remorque</v>
      </c>
      <c r="D133" s="38" t="str">
        <f>IF(ISNA(VLOOKUP(Tableau13[[#This Row],[Code]],'Code Véhicule'!$A$4:$C$185,3,0)),"",VLOOKUP(Tableau13[[#This Row],[Code]],'Code Véhicule'!$A$4:$C$185,3,0))</f>
        <v>MAN</v>
      </c>
      <c r="E133" s="36" t="str">
        <f>IF(ISNA(VLOOKUP(Tableau13[[#This Row],[Code]],'Code Véhicule'!$A$4:$D$185,4,0))," ",VLOOKUP(Tableau13[[#This Row],[Code]],'Code Véhicule'!$A$4:$D$185,4,0))</f>
        <v xml:space="preserve">28659-D-1 </v>
      </c>
      <c r="F133" s="36">
        <v>22481</v>
      </c>
      <c r="G133" s="38" t="s">
        <v>393</v>
      </c>
      <c r="H133" s="38"/>
      <c r="I133" s="36" t="s">
        <v>302</v>
      </c>
      <c r="J133" s="36" t="s">
        <v>452</v>
      </c>
      <c r="K133" s="36">
        <v>143189</v>
      </c>
      <c r="L133" s="40">
        <v>120</v>
      </c>
      <c r="M133" s="36">
        <v>120</v>
      </c>
      <c r="N133" s="35">
        <v>43863</v>
      </c>
      <c r="O133" s="38"/>
      <c r="P133" s="38"/>
      <c r="Q133" s="176" t="e">
        <f>MONTH([1]!Tableau13[[#This Row],[Date début]])</f>
        <v>#REF!</v>
      </c>
      <c r="R133" s="180" t="e">
        <f>YEAR([1]!Tableau13[[#This Row],[Date début]])</f>
        <v>#REF!</v>
      </c>
    </row>
    <row r="134" spans="1:18">
      <c r="A134" s="35">
        <v>43864</v>
      </c>
      <c r="B134" s="36">
        <v>479</v>
      </c>
      <c r="C134" s="37" t="str">
        <f>IF(ISNA(VLOOKUP(Tableau13[[#This Row],[Code]],'Code Véhicule'!$A$4:$C$185,2,0)),"",VLOOKUP(Tableau13[[#This Row],[Code]],'Code Véhicule'!$A$4:$C$185,2,0))</f>
        <v>Bus de transport</v>
      </c>
      <c r="D134" s="38" t="str">
        <f>IF(ISNA(VLOOKUP(Tableau13[[#This Row],[Code]],'Code Véhicule'!$A$4:$C$185,3,0)),"",VLOOKUP(Tableau13[[#This Row],[Code]],'Code Véhicule'!$A$4:$C$185,3,0))</f>
        <v>Hyundai County</v>
      </c>
      <c r="E134" s="36" t="str">
        <f>IF(ISNA(VLOOKUP(Tableau13[[#This Row],[Code]],'Code Véhicule'!$A$4:$D$185,4,0))," ",VLOOKUP(Tableau13[[#This Row],[Code]],'Code Véhicule'!$A$4:$D$185,4,0))</f>
        <v>22772-A-73</v>
      </c>
      <c r="F134" s="36">
        <v>22489</v>
      </c>
      <c r="G134" s="38" t="s">
        <v>388</v>
      </c>
      <c r="H134" s="38"/>
      <c r="I134" s="36" t="s">
        <v>304</v>
      </c>
      <c r="J134" s="36" t="s">
        <v>476</v>
      </c>
      <c r="K134" s="36">
        <v>143136</v>
      </c>
      <c r="L134" s="40">
        <v>570</v>
      </c>
      <c r="M134" s="36">
        <v>570</v>
      </c>
      <c r="N134" s="41">
        <v>43864</v>
      </c>
      <c r="O134" s="38"/>
      <c r="P134" s="38"/>
      <c r="Q134" s="176" t="e">
        <f>MONTH([1]!Tableau13[[#This Row],[Date début]])</f>
        <v>#REF!</v>
      </c>
      <c r="R134" s="180" t="e">
        <f>YEAR([1]!Tableau13[[#This Row],[Date début]])</f>
        <v>#REF!</v>
      </c>
    </row>
    <row r="135" spans="1:18" ht="90" customHeight="1">
      <c r="A135" s="35">
        <v>43865</v>
      </c>
      <c r="B135" s="36">
        <v>417</v>
      </c>
      <c r="C135" s="37" t="str">
        <f>IF(ISNA(VLOOKUP(Tableau13[[#This Row],[Code]],'Code Véhicule'!$A$4:$C$185,2,0)),"",VLOOKUP(Tableau13[[#This Row],[Code]],'Code Véhicule'!$A$4:$C$185,2,0))</f>
        <v>Voiture de fonction</v>
      </c>
      <c r="D135" s="38" t="str">
        <f>IF(ISNA(VLOOKUP(Tableau13[[#This Row],[Code]],'Code Véhicule'!$A$4:$C$185,3,0)),"",VLOOKUP(Tableau13[[#This Row],[Code]],'Code Véhicule'!$A$4:$C$185,3,0))</f>
        <v>Berlingo</v>
      </c>
      <c r="E135" s="36" t="str">
        <f>IF(ISNA(VLOOKUP(Tableau13[[#This Row],[Code]],'Code Véhicule'!$A$4:$D$185,4,0))," ",VLOOKUP(Tableau13[[#This Row],[Code]],'Code Véhicule'!$A$4:$D$185,4,0))</f>
        <v>981-A-73</v>
      </c>
      <c r="F135" s="36">
        <v>22483</v>
      </c>
      <c r="G135" s="38" t="s">
        <v>455</v>
      </c>
      <c r="H135" s="38"/>
      <c r="I135" s="36" t="s">
        <v>322</v>
      </c>
      <c r="J135" s="36" t="s">
        <v>465</v>
      </c>
      <c r="K135" s="36" t="s">
        <v>466</v>
      </c>
      <c r="L135" s="40">
        <v>1140</v>
      </c>
      <c r="M135" s="36">
        <v>1140</v>
      </c>
      <c r="N135" s="41">
        <v>43867</v>
      </c>
      <c r="O135" s="38"/>
      <c r="P135" s="38"/>
      <c r="Q135" s="176" t="e">
        <f>MONTH([1]!Tableau13[[#This Row],[Date début]])</f>
        <v>#REF!</v>
      </c>
      <c r="R135" s="180" t="e">
        <f>YEAR([1]!Tableau13[[#This Row],[Date début]])</f>
        <v>#REF!</v>
      </c>
    </row>
    <row r="136" spans="1:18" ht="15.75" customHeight="1">
      <c r="A136" s="35">
        <v>43866</v>
      </c>
      <c r="B136" s="36">
        <v>411</v>
      </c>
      <c r="C136" s="37" t="str">
        <f>IF(ISNA(VLOOKUP(Tableau13[[#This Row],[Code]],'Code Véhicule'!$A$4:$C$185,2,0)),"",VLOOKUP(Tableau13[[#This Row],[Code]],'Code Véhicule'!$A$4:$C$185,2,0))</f>
        <v>Camion</v>
      </c>
      <c r="D136" s="38" t="str">
        <f>IF(ISNA(VLOOKUP(Tableau13[[#This Row],[Code]],'Code Véhicule'!$A$4:$C$185,3,0)),"",VLOOKUP(Tableau13[[#This Row],[Code]],'Code Véhicule'!$A$4:$C$185,3,0))</f>
        <v>Renault</v>
      </c>
      <c r="E136" s="36" t="str">
        <f>IF(ISNA(VLOOKUP(Tableau13[[#This Row],[Code]],'Code Véhicule'!$A$4:$D$185,4,0))," ",VLOOKUP(Tableau13[[#This Row],[Code]],'Code Véhicule'!$A$4:$D$185,4,0))</f>
        <v>25636-A-13</v>
      </c>
      <c r="F136" s="36">
        <v>22490</v>
      </c>
      <c r="G136" s="38" t="s">
        <v>389</v>
      </c>
      <c r="H136" s="38"/>
      <c r="I136" s="36" t="s">
        <v>304</v>
      </c>
      <c r="J136" s="36" t="s">
        <v>372</v>
      </c>
      <c r="K136" s="36">
        <v>143140</v>
      </c>
      <c r="L136" s="40">
        <v>120</v>
      </c>
      <c r="M136" s="36">
        <v>120</v>
      </c>
      <c r="N136" s="41">
        <v>43866</v>
      </c>
      <c r="O136" s="38"/>
      <c r="P136" s="38"/>
      <c r="Q136" s="176" t="e">
        <f>MONTH([1]!Tableau13[[#This Row],[Date début]])</f>
        <v>#REF!</v>
      </c>
      <c r="R136" s="180" t="e">
        <f>YEAR([1]!Tableau13[[#This Row],[Date début]])</f>
        <v>#REF!</v>
      </c>
    </row>
    <row r="137" spans="1:18" ht="15.75" customHeight="1">
      <c r="A137" s="35">
        <v>43868</v>
      </c>
      <c r="B137" s="36">
        <v>413</v>
      </c>
      <c r="C137" s="37" t="str">
        <f>IF(ISNA(VLOOKUP(Tableau13[[#This Row],[Code]],'Code Véhicule'!$A$4:$C$185,2,0)),"",VLOOKUP(Tableau13[[#This Row],[Code]],'Code Véhicule'!$A$4:$C$185,2,0))</f>
        <v>Chargeur</v>
      </c>
      <c r="D137" s="38" t="str">
        <f>IF(ISNA(VLOOKUP(Tableau13[[#This Row],[Code]],'Code Véhicule'!$A$4:$C$185,3,0)),"",VLOOKUP(Tableau13[[#This Row],[Code]],'Code Véhicule'!$A$4:$C$185,3,0))</f>
        <v>Caterpillar</v>
      </c>
      <c r="E137" s="36" t="str">
        <f>IF(ISNA(VLOOKUP(Tableau13[[#This Row],[Code]],'Code Véhicule'!$A$4:$D$185,4,0))," ",VLOOKUP(Tableau13[[#This Row],[Code]],'Code Véhicule'!$A$4:$D$185,4,0))</f>
        <v>-</v>
      </c>
      <c r="F137" s="36">
        <v>22407</v>
      </c>
      <c r="G137" s="38" t="s">
        <v>388</v>
      </c>
      <c r="H137" s="38"/>
      <c r="I137" s="36" t="s">
        <v>304</v>
      </c>
      <c r="J137" s="36" t="s">
        <v>496</v>
      </c>
      <c r="K137" s="36">
        <v>143147</v>
      </c>
      <c r="L137" s="40">
        <v>120</v>
      </c>
      <c r="M137" s="36">
        <v>120</v>
      </c>
      <c r="N137" s="41">
        <v>43868</v>
      </c>
      <c r="O137" s="38"/>
      <c r="P137" s="38"/>
      <c r="Q137" s="176" t="e">
        <f>MONTH([1]!Tableau13[[#This Row],[Date début]])</f>
        <v>#REF!</v>
      </c>
      <c r="R137" s="180" t="e">
        <f>YEAR([1]!Tableau13[[#This Row],[Date début]])</f>
        <v>#REF!</v>
      </c>
    </row>
    <row r="138" spans="1:18" ht="30" customHeight="1">
      <c r="A138" s="35">
        <v>43869</v>
      </c>
      <c r="B138" s="36">
        <v>410</v>
      </c>
      <c r="C138" s="37" t="str">
        <f>IF(ISNA(VLOOKUP(Tableau13[[#This Row],[Code]],'Code Véhicule'!$A$4:$C$185,2,0)),"",VLOOKUP(Tableau13[[#This Row],[Code]],'Code Véhicule'!$A$4:$C$185,2,0))</f>
        <v>Semi remorque</v>
      </c>
      <c r="D138" s="38" t="str">
        <f>IF(ISNA(VLOOKUP(Tableau13[[#This Row],[Code]],'Code Véhicule'!$A$4:$C$185,3,0)),"",VLOOKUP(Tableau13[[#This Row],[Code]],'Code Véhicule'!$A$4:$C$185,3,0))</f>
        <v>MAN</v>
      </c>
      <c r="E138" s="36" t="str">
        <f>IF(ISNA(VLOOKUP(Tableau13[[#This Row],[Code]],'Code Véhicule'!$A$4:$D$185,4,0))," ",VLOOKUP(Tableau13[[#This Row],[Code]],'Code Véhicule'!$A$4:$D$185,4,0))</f>
        <v xml:space="preserve">28659-D-1 </v>
      </c>
      <c r="F138" s="36">
        <v>22491</v>
      </c>
      <c r="G138" s="38" t="s">
        <v>389</v>
      </c>
      <c r="H138" s="38"/>
      <c r="I138" s="36" t="s">
        <v>304</v>
      </c>
      <c r="J138" s="36" t="s">
        <v>477</v>
      </c>
      <c r="K138" s="36" t="s">
        <v>478</v>
      </c>
      <c r="L138" s="40">
        <v>240</v>
      </c>
      <c r="M138" s="36">
        <v>240</v>
      </c>
      <c r="N138" s="41">
        <v>43869</v>
      </c>
      <c r="O138" s="38"/>
      <c r="P138" s="38"/>
      <c r="Q138" s="176" t="e">
        <f>MONTH([1]!Tableau13[[#This Row],[Date début]])</f>
        <v>#REF!</v>
      </c>
      <c r="R138" s="180" t="e">
        <f>YEAR([1]!Tableau13[[#This Row],[Date début]])</f>
        <v>#REF!</v>
      </c>
    </row>
    <row r="139" spans="1:18" ht="15.75" customHeight="1">
      <c r="A139" s="35">
        <v>43869</v>
      </c>
      <c r="B139" s="36">
        <v>403</v>
      </c>
      <c r="C139" s="37" t="str">
        <f>IF(ISNA(VLOOKUP(Tableau13[[#This Row],[Code]],'Code Véhicule'!$A$4:$C$185,2,0)),"",VLOOKUP(Tableau13[[#This Row],[Code]],'Code Véhicule'!$A$4:$C$185,2,0))</f>
        <v>Camion</v>
      </c>
      <c r="D139" s="38" t="str">
        <f>IF(ISNA(VLOOKUP(Tableau13[[#This Row],[Code]],'Code Véhicule'!$A$4:$C$185,3,0)),"",VLOOKUP(Tableau13[[#This Row],[Code]],'Code Véhicule'!$A$4:$C$185,3,0))</f>
        <v>MAN</v>
      </c>
      <c r="E139" s="36" t="str">
        <f>IF(ISNA(VLOOKUP(Tableau13[[#This Row],[Code]],'Code Véhicule'!$A$4:$D$185,4,0))," ",VLOOKUP(Tableau13[[#This Row],[Code]],'Code Véhicule'!$A$4:$D$185,4,0))</f>
        <v>4790-B-8</v>
      </c>
      <c r="F139" s="36">
        <v>22493</v>
      </c>
      <c r="G139" s="38" t="s">
        <v>403</v>
      </c>
      <c r="H139" s="38"/>
      <c r="I139" s="36" t="s">
        <v>304</v>
      </c>
      <c r="J139" s="36" t="s">
        <v>479</v>
      </c>
      <c r="K139" s="36">
        <v>143352</v>
      </c>
      <c r="L139" s="40">
        <v>120</v>
      </c>
      <c r="M139" s="36">
        <v>120</v>
      </c>
      <c r="N139" s="41">
        <v>43869</v>
      </c>
      <c r="O139" s="38"/>
      <c r="P139" s="38"/>
      <c r="Q139" s="176" t="e">
        <f>MONTH([1]!Tableau13[[#This Row],[Date début]])</f>
        <v>#REF!</v>
      </c>
      <c r="R139" s="180" t="e">
        <f>YEAR([1]!Tableau13[[#This Row],[Date début]])</f>
        <v>#REF!</v>
      </c>
    </row>
    <row r="140" spans="1:18" ht="60" customHeight="1">
      <c r="A140" s="35">
        <v>43869</v>
      </c>
      <c r="B140" s="36"/>
      <c r="C140" s="37" t="s">
        <v>434</v>
      </c>
      <c r="D140" s="38" t="s">
        <v>506</v>
      </c>
      <c r="E140" s="36" t="str">
        <f>IF(ISNA(VLOOKUP(Tableau13[[#This Row],[Code]],'Code Véhicule'!$A$4:$D$185,4,0))," ",VLOOKUP(Tableau13[[#This Row],[Code]],'Code Véhicule'!$A$4:$D$185,4,0))</f>
        <v xml:space="preserve"> </v>
      </c>
      <c r="F140" s="36">
        <v>22411</v>
      </c>
      <c r="G140" s="38" t="s">
        <v>455</v>
      </c>
      <c r="H140" s="38"/>
      <c r="I140" s="36" t="s">
        <v>304</v>
      </c>
      <c r="J140" s="36" t="s">
        <v>500</v>
      </c>
      <c r="K140" s="36" t="s">
        <v>501</v>
      </c>
      <c r="L140" s="40">
        <v>3990</v>
      </c>
      <c r="M140" s="36">
        <v>5700</v>
      </c>
      <c r="N140" s="41">
        <v>43880</v>
      </c>
      <c r="O140" s="38"/>
      <c r="P140" s="38"/>
      <c r="Q140" s="176" t="e">
        <f>MONTH([1]!Tableau13[[#This Row],[Date début]])</f>
        <v>#REF!</v>
      </c>
      <c r="R140" s="180" t="e">
        <f>YEAR([1]!Tableau13[[#This Row],[Date début]])</f>
        <v>#REF!</v>
      </c>
    </row>
    <row r="141" spans="1:18" ht="15.75" customHeight="1">
      <c r="A141" s="35">
        <v>43870</v>
      </c>
      <c r="B141" s="36">
        <v>436</v>
      </c>
      <c r="C141" s="37" t="str">
        <f>IF(ISNA(VLOOKUP(Tableau13[[#This Row],[Code]],'Code Véhicule'!$A$4:$C$185,2,0)),"",VLOOKUP(Tableau13[[#This Row],[Code]],'Code Véhicule'!$A$4:$C$185,2,0))</f>
        <v>Camion</v>
      </c>
      <c r="D141" s="38" t="str">
        <f>IF(ISNA(VLOOKUP(Tableau13[[#This Row],[Code]],'Code Véhicule'!$A$4:$C$185,3,0)),"",VLOOKUP(Tableau13[[#This Row],[Code]],'Code Véhicule'!$A$4:$C$185,3,0))</f>
        <v>Mitsubishi</v>
      </c>
      <c r="E141" s="36" t="str">
        <f>IF(ISNA(VLOOKUP(Tableau13[[#This Row],[Code]],'Code Véhicule'!$A$4:$D$185,4,0))," ",VLOOKUP(Tableau13[[#This Row],[Code]],'Code Véhicule'!$A$4:$D$185,4,0))</f>
        <v>11470-A-73</v>
      </c>
      <c r="F141" s="36">
        <v>22492</v>
      </c>
      <c r="G141" s="38" t="s">
        <v>389</v>
      </c>
      <c r="H141" s="38"/>
      <c r="I141" s="36" t="s">
        <v>322</v>
      </c>
      <c r="J141" s="36" t="s">
        <v>348</v>
      </c>
      <c r="K141" s="36">
        <v>143355</v>
      </c>
      <c r="L141" s="40">
        <v>120</v>
      </c>
      <c r="M141" s="36">
        <v>120</v>
      </c>
      <c r="N141" s="41">
        <v>43870</v>
      </c>
      <c r="O141" s="38"/>
      <c r="P141" s="38"/>
      <c r="Q141" s="176" t="e">
        <f>MONTH([1]!Tableau13[[#This Row],[Date début]])</f>
        <v>#REF!</v>
      </c>
      <c r="R141" s="180" t="e">
        <f>YEAR([1]!Tableau13[[#This Row],[Date début]])</f>
        <v>#REF!</v>
      </c>
    </row>
    <row r="142" spans="1:18" ht="15.75" customHeight="1">
      <c r="A142" s="35">
        <v>43873</v>
      </c>
      <c r="B142" s="36">
        <v>408</v>
      </c>
      <c r="C142" s="37" t="str">
        <f>IF(ISNA(VLOOKUP(Tableau13[[#This Row],[Code]],'Code Véhicule'!$A$4:$C$185,2,0)),"",VLOOKUP(Tableau13[[#This Row],[Code]],'Code Véhicule'!$A$4:$C$185,2,0))</f>
        <v>Camion</v>
      </c>
      <c r="D142" s="38" t="str">
        <f>IF(ISNA(VLOOKUP(Tableau13[[#This Row],[Code]],'Code Véhicule'!$A$4:$C$185,3,0)),"",VLOOKUP(Tableau13[[#This Row],[Code]],'Code Véhicule'!$A$4:$C$185,3,0))</f>
        <v>Mitsubishi</v>
      </c>
      <c r="E142" s="36" t="str">
        <f>IF(ISNA(VLOOKUP(Tableau13[[#This Row],[Code]],'Code Véhicule'!$A$4:$D$185,4,0))," ",VLOOKUP(Tableau13[[#This Row],[Code]],'Code Véhicule'!$A$4:$D$185,4,0))</f>
        <v>4703-A-73</v>
      </c>
      <c r="F142" s="36">
        <v>22494</v>
      </c>
      <c r="G142" s="38" t="s">
        <v>389</v>
      </c>
      <c r="H142" s="38"/>
      <c r="I142" s="36" t="s">
        <v>304</v>
      </c>
      <c r="J142" s="36" t="s">
        <v>480</v>
      </c>
      <c r="K142" s="36">
        <v>143369</v>
      </c>
      <c r="L142" s="40">
        <v>180</v>
      </c>
      <c r="M142" s="36">
        <v>180</v>
      </c>
      <c r="N142" s="41">
        <v>43873</v>
      </c>
      <c r="O142" s="38"/>
      <c r="P142" s="38"/>
      <c r="Q142" s="176" t="e">
        <f>MONTH([1]!Tableau13[[#This Row],[Date début]])</f>
        <v>#REF!</v>
      </c>
      <c r="R142" s="180" t="e">
        <f>YEAR([1]!Tableau13[[#This Row],[Date début]])</f>
        <v>#REF!</v>
      </c>
    </row>
    <row r="143" spans="1:18" ht="30" customHeight="1">
      <c r="A143" s="35">
        <v>43873</v>
      </c>
      <c r="B143" s="36">
        <v>434</v>
      </c>
      <c r="C143" s="37" t="str">
        <f>IF(ISNA(VLOOKUP(Tableau13[[#This Row],[Code]],'Code Véhicule'!$A$4:$C$185,2,0)),"",VLOOKUP(Tableau13[[#This Row],[Code]],'Code Véhicule'!$A$4:$C$185,2,0))</f>
        <v>Chariot elevateur</v>
      </c>
      <c r="D143" s="38" t="str">
        <f>IF(ISNA(VLOOKUP(Tableau13[[#This Row],[Code]],'Code Véhicule'!$A$4:$C$185,3,0)),"",VLOOKUP(Tableau13[[#This Row],[Code]],'Code Véhicule'!$A$4:$C$185,3,0))</f>
        <v>Linde H30D</v>
      </c>
      <c r="E143" s="36" t="str">
        <f>IF(ISNA(VLOOKUP(Tableau13[[#This Row],[Code]],'Code Véhicule'!$A$4:$D$185,4,0))," ",VLOOKUP(Tableau13[[#This Row],[Code]],'Code Véhicule'!$A$4:$D$185,4,0))</f>
        <v>-</v>
      </c>
      <c r="F143" s="36">
        <v>22408</v>
      </c>
      <c r="G143" s="38" t="s">
        <v>393</v>
      </c>
      <c r="H143" s="38"/>
      <c r="I143" s="36" t="s">
        <v>504</v>
      </c>
      <c r="J143" s="36" t="s">
        <v>505</v>
      </c>
      <c r="K143" s="36">
        <v>143149</v>
      </c>
      <c r="L143" s="40">
        <v>120</v>
      </c>
      <c r="M143" s="40">
        <v>120</v>
      </c>
      <c r="N143" s="41">
        <v>43873</v>
      </c>
      <c r="O143" s="45"/>
      <c r="P143" s="45"/>
      <c r="Q143" s="176" t="e">
        <f>MONTH([1]!Tableau13[[#This Row],[Date début]])</f>
        <v>#REF!</v>
      </c>
      <c r="R143" s="180" t="e">
        <f>YEAR([1]!Tableau13[[#This Row],[Date début]])</f>
        <v>#REF!</v>
      </c>
    </row>
    <row r="144" spans="1:18" ht="30" customHeight="1">
      <c r="A144" s="35">
        <v>43875</v>
      </c>
      <c r="B144" s="36">
        <v>408</v>
      </c>
      <c r="C144" s="37" t="str">
        <f>IF(ISNA(VLOOKUP(Tableau13[[#This Row],[Code]],'Code Véhicule'!$A$4:$C$185,2,0)),"",VLOOKUP(Tableau13[[#This Row],[Code]],'Code Véhicule'!$A$4:$C$185,2,0))</f>
        <v>Camion</v>
      </c>
      <c r="D144" s="38">
        <v>4</v>
      </c>
      <c r="E144" s="36" t="str">
        <f>IF(ISNA(VLOOKUP(Tableau13[[#This Row],[Code]],'Code Véhicule'!$A$4:$D$185,4,0))," ",VLOOKUP(Tableau13[[#This Row],[Code]],'Code Véhicule'!$A$4:$D$185,4,0))</f>
        <v>4703-A-73</v>
      </c>
      <c r="F144" s="36">
        <v>22495</v>
      </c>
      <c r="G144" s="38" t="s">
        <v>481</v>
      </c>
      <c r="H144" s="38"/>
      <c r="I144" s="36" t="s">
        <v>304</v>
      </c>
      <c r="J144" s="36" t="s">
        <v>483</v>
      </c>
      <c r="K144" s="36" t="s">
        <v>482</v>
      </c>
      <c r="L144" s="40">
        <v>30</v>
      </c>
      <c r="M144" s="36">
        <v>30</v>
      </c>
      <c r="N144" s="41">
        <v>43875</v>
      </c>
      <c r="O144" s="38"/>
      <c r="P144" s="38"/>
      <c r="Q144" s="176" t="e">
        <f>MONTH([1]!Tableau13[[#This Row],[Date début]])</f>
        <v>#REF!</v>
      </c>
      <c r="R144" s="180" t="e">
        <f>YEAR([1]!Tableau13[[#This Row],[Date début]])</f>
        <v>#REF!</v>
      </c>
    </row>
    <row r="145" spans="1:18" ht="45" customHeight="1">
      <c r="A145" s="35">
        <v>43875</v>
      </c>
      <c r="B145" s="36">
        <v>429</v>
      </c>
      <c r="C145" s="37" t="str">
        <f>IF(ISNA(VLOOKUP(Tableau13[[#This Row],[Code]],'Code Véhicule'!$A$4:$C$185,2,0)),"",VLOOKUP(Tableau13[[#This Row],[Code]],'Code Véhicule'!$A$4:$C$185,2,0))</f>
        <v>Chariot elevateur</v>
      </c>
      <c r="D145" s="38" t="str">
        <f>IF(ISNA(VLOOKUP(Tableau13[[#This Row],[Code]],'Code Véhicule'!$A$4:$C$185,3,0)),"",VLOOKUP(Tableau13[[#This Row],[Code]],'Code Véhicule'!$A$4:$C$185,3,0))</f>
        <v>Fenwick HD30</v>
      </c>
      <c r="E145" s="36" t="str">
        <f>IF(ISNA(VLOOKUP(Tableau13[[#This Row],[Code]],'Code Véhicule'!$A$4:$D$185,4,0))," ",VLOOKUP(Tableau13[[#This Row],[Code]],'Code Véhicule'!$A$4:$D$185,4,0))</f>
        <v>-</v>
      </c>
      <c r="F145" s="36">
        <v>22412</v>
      </c>
      <c r="G145" s="38" t="s">
        <v>393</v>
      </c>
      <c r="H145" s="38"/>
      <c r="I145" s="36" t="s">
        <v>302</v>
      </c>
      <c r="J145" s="36" t="s">
        <v>502</v>
      </c>
      <c r="K145" s="36">
        <v>143378</v>
      </c>
      <c r="L145" s="40">
        <v>60</v>
      </c>
      <c r="M145" s="36">
        <v>60</v>
      </c>
      <c r="N145" s="41">
        <v>43875</v>
      </c>
      <c r="O145" s="38"/>
      <c r="P145" s="38"/>
      <c r="Q145" s="176" t="e">
        <f>MONTH([1]!Tableau13[[#This Row],[Date début]])</f>
        <v>#REF!</v>
      </c>
      <c r="R145" s="180" t="e">
        <f>YEAR([1]!Tableau13[[#This Row],[Date début]])</f>
        <v>#REF!</v>
      </c>
    </row>
    <row r="146" spans="1:18" ht="30" customHeight="1">
      <c r="A146" s="35">
        <v>43876</v>
      </c>
      <c r="B146" s="36">
        <v>438</v>
      </c>
      <c r="C146" s="37" t="str">
        <f>IF(ISNA(VLOOKUP(Tableau13[[#This Row],[Code]],'Code Véhicule'!$A$4:$C$185,2,0)),"",VLOOKUP(Tableau13[[#This Row],[Code]],'Code Véhicule'!$A$4:$C$185,2,0))</f>
        <v>Semi remorque</v>
      </c>
      <c r="D146" s="38" t="str">
        <f>IF(ISNA(VLOOKUP(Tableau13[[#This Row],[Code]],'Code Véhicule'!$A$4:$C$185,3,0)),"",VLOOKUP(Tableau13[[#This Row],[Code]],'Code Véhicule'!$A$4:$C$185,3,0))</f>
        <v>VOLVO</v>
      </c>
      <c r="E146" s="36" t="str">
        <f>IF(ISNA(VLOOKUP(Tableau13[[#This Row],[Code]],'Code Véhicule'!$A$4:$D$185,4,0))," ",VLOOKUP(Tableau13[[#This Row],[Code]],'Code Véhicule'!$A$4:$D$185,4,0))</f>
        <v xml:space="preserve">17885-A-73 </v>
      </c>
      <c r="F146" s="36">
        <v>22496</v>
      </c>
      <c r="G146" s="38" t="s">
        <v>334</v>
      </c>
      <c r="H146" s="38"/>
      <c r="I146" s="36" t="s">
        <v>304</v>
      </c>
      <c r="J146" s="36" t="s">
        <v>484</v>
      </c>
      <c r="K146" s="36" t="s">
        <v>485</v>
      </c>
      <c r="L146" s="40">
        <v>120</v>
      </c>
      <c r="M146" s="36">
        <v>120</v>
      </c>
      <c r="N146" s="41">
        <v>43876</v>
      </c>
      <c r="O146" s="38"/>
      <c r="P146" s="38"/>
      <c r="Q146" s="176" t="e">
        <f>MONTH([1]!Tableau13[[#This Row],[Date début]])</f>
        <v>#REF!</v>
      </c>
      <c r="R146" s="180" t="e">
        <f>YEAR([1]!Tableau13[[#This Row],[Date début]])</f>
        <v>#REF!</v>
      </c>
    </row>
    <row r="147" spans="1:18" ht="15.75" customHeight="1">
      <c r="A147" s="35">
        <v>43878</v>
      </c>
      <c r="B147" s="36">
        <v>406</v>
      </c>
      <c r="C147" s="37" t="str">
        <f>IF(ISNA(VLOOKUP(Tableau13[[#This Row],[Code]],'Code Véhicule'!$A$4:$C$185,2,0)),"",VLOOKUP(Tableau13[[#This Row],[Code]],'Code Véhicule'!$A$4:$C$185,2,0))</f>
        <v>Semi remorque</v>
      </c>
      <c r="D147" s="38" t="str">
        <f>IF(ISNA(VLOOKUP(Tableau13[[#This Row],[Code]],'Code Véhicule'!$A$4:$C$185,3,0)),"",VLOOKUP(Tableau13[[#This Row],[Code]],'Code Véhicule'!$A$4:$C$185,3,0))</f>
        <v>VOLVO</v>
      </c>
      <c r="E147" s="36" t="str">
        <f>IF(ISNA(VLOOKUP(Tableau13[[#This Row],[Code]],'Code Véhicule'!$A$4:$D$185,4,0))," ",VLOOKUP(Tableau13[[#This Row],[Code]],'Code Véhicule'!$A$4:$D$185,4,0))</f>
        <v>70352-A-6</v>
      </c>
      <c r="F147" s="36">
        <v>22951</v>
      </c>
      <c r="G147" s="38" t="s">
        <v>455</v>
      </c>
      <c r="H147" s="38"/>
      <c r="I147" s="36"/>
      <c r="J147" s="36" t="s">
        <v>487</v>
      </c>
      <c r="K147" s="36"/>
      <c r="L147" s="40"/>
      <c r="M147" s="36"/>
      <c r="N147" s="36"/>
      <c r="O147" s="38"/>
      <c r="P147" s="38"/>
      <c r="Q147" s="176" t="e">
        <f>MONTH([1]!Tableau13[[#This Row],[Date début]])</f>
        <v>#REF!</v>
      </c>
      <c r="R147" s="180" t="e">
        <f>YEAR([1]!Tableau13[[#This Row],[Date début]])</f>
        <v>#REF!</v>
      </c>
    </row>
    <row r="148" spans="1:18" ht="60" customHeight="1">
      <c r="A148" s="35">
        <v>43879</v>
      </c>
      <c r="B148" s="36">
        <v>410</v>
      </c>
      <c r="C148" s="37" t="str">
        <f>IF(ISNA(VLOOKUP(Tableau13[[#This Row],[Code]],'Code Véhicule'!$A$4:$C$185,2,0)),"",VLOOKUP(Tableau13[[#This Row],[Code]],'Code Véhicule'!$A$4:$C$185,2,0))</f>
        <v>Semi remorque</v>
      </c>
      <c r="D148" s="38" t="str">
        <f>IF(ISNA(VLOOKUP(Tableau13[[#This Row],[Code]],'Code Véhicule'!$A$4:$C$185,3,0)),"",VLOOKUP(Tableau13[[#This Row],[Code]],'Code Véhicule'!$A$4:$C$185,3,0))</f>
        <v>MAN</v>
      </c>
      <c r="E148" s="36" t="str">
        <f>IF(ISNA(VLOOKUP(Tableau13[[#This Row],[Code]],'Code Véhicule'!$A$4:$D$185,4,0))," ",VLOOKUP(Tableau13[[#This Row],[Code]],'Code Véhicule'!$A$4:$D$185,4,0))</f>
        <v xml:space="preserve">28659-D-1 </v>
      </c>
      <c r="F148" s="36">
        <v>22497</v>
      </c>
      <c r="G148" s="38" t="s">
        <v>393</v>
      </c>
      <c r="H148" s="38"/>
      <c r="I148" s="36" t="s">
        <v>302</v>
      </c>
      <c r="J148" s="36" t="s">
        <v>486</v>
      </c>
      <c r="K148" s="36">
        <v>143390</v>
      </c>
      <c r="L148" s="40">
        <v>180</v>
      </c>
      <c r="M148" s="36">
        <v>180</v>
      </c>
      <c r="N148" s="41">
        <v>43879</v>
      </c>
      <c r="O148" s="38"/>
      <c r="P148" s="38"/>
      <c r="Q148" s="176" t="e">
        <f>MONTH([1]!Tableau13[[#This Row],[Date début]])</f>
        <v>#REF!</v>
      </c>
      <c r="R148" s="180" t="e">
        <f>YEAR([1]!Tableau13[[#This Row],[Date début]])</f>
        <v>#REF!</v>
      </c>
    </row>
    <row r="149" spans="1:18" ht="15.75" customHeight="1">
      <c r="A149" s="35">
        <v>43880</v>
      </c>
      <c r="B149" s="36">
        <v>401</v>
      </c>
      <c r="C149" s="37" t="str">
        <f>IF(ISNA(VLOOKUP(Tableau13[[#This Row],[Code]],'Code Véhicule'!$A$4:$C$41,2,TRUE)),"",(VLOOKUP(Tableau13[[#This Row],[Code]],'Code Véhicule'!$A$4:$C$41,2,TRUE)))</f>
        <v>Camion</v>
      </c>
      <c r="D149" s="38" t="str">
        <f>IF(ISNA(VLOOKUP(Tableau13[[#This Row],[Code]],'Code Véhicule'!$A$4:$C$185,3,0)),"",VLOOKUP(Tableau13[[#This Row],[Code]],'Code Véhicule'!$A$4:$C$185,3,0))</f>
        <v>ISUZU</v>
      </c>
      <c r="E149" s="36" t="str">
        <f>IF(ISNA(VLOOKUP(Tableau13[[#This Row],[Code]],'Code Véhicule'!$A$4:$D$185,4,0))," ",VLOOKUP(Tableau13[[#This Row],[Code]],'Code Véhicule'!$A$4:$D$185,4,0))</f>
        <v>26128-A-8</v>
      </c>
      <c r="F149" s="36">
        <v>23503</v>
      </c>
      <c r="G149" s="38" t="s">
        <v>403</v>
      </c>
      <c r="H149" s="38" t="s">
        <v>805</v>
      </c>
      <c r="I149" s="36" t="s">
        <v>304</v>
      </c>
      <c r="J149" s="36" t="s">
        <v>479</v>
      </c>
      <c r="K149" s="36">
        <v>154189</v>
      </c>
      <c r="L149" s="40">
        <v>60</v>
      </c>
      <c r="M149" s="36">
        <v>60</v>
      </c>
      <c r="N149" s="41">
        <v>44154</v>
      </c>
      <c r="O149" s="38"/>
      <c r="P149" s="38"/>
      <c r="Q149" s="176" t="e">
        <f>MONTH([1]!Tableau13[[#This Row],[Date début]])</f>
        <v>#REF!</v>
      </c>
      <c r="R149" s="180" t="e">
        <f>YEAR([1]!Tableau13[[#This Row],[Date début]])</f>
        <v>#REF!</v>
      </c>
    </row>
    <row r="150" spans="1:18" ht="255" customHeight="1">
      <c r="A150" s="35">
        <v>43883</v>
      </c>
      <c r="B150" s="36">
        <v>427</v>
      </c>
      <c r="C150" s="37" t="str">
        <f>IF(ISNA(VLOOKUP(Tableau13[[#This Row],[Code]],'Code Véhicule'!$A$4:$C$185,2,0)),"",VLOOKUP(Tableau13[[#This Row],[Code]],'Code Véhicule'!$A$4:$C$185,2,0))</f>
        <v>Chariot elevateur</v>
      </c>
      <c r="D150" s="38" t="str">
        <f>IF(ISNA(VLOOKUP(Tableau13[[#This Row],[Code]],'Code Véhicule'!$A$4:$C$185,3,0)),"",VLOOKUP(Tableau13[[#This Row],[Code]],'Code Véhicule'!$A$4:$C$185,3,0))</f>
        <v>Linde H30</v>
      </c>
      <c r="E150" s="36" t="str">
        <f>IF(ISNA(VLOOKUP(Tableau13[[#This Row],[Code]],'Code Véhicule'!$A$4:$D$185,4,0))," ",VLOOKUP(Tableau13[[#This Row],[Code]],'Code Véhicule'!$A$4:$D$185,4,0))</f>
        <v>-</v>
      </c>
      <c r="F150" s="36">
        <v>22414</v>
      </c>
      <c r="G150" s="38" t="s">
        <v>455</v>
      </c>
      <c r="H150" s="38"/>
      <c r="I150" s="36" t="s">
        <v>304</v>
      </c>
      <c r="J150" s="36" t="s">
        <v>507</v>
      </c>
      <c r="K150" s="36" t="s">
        <v>543</v>
      </c>
      <c r="L150" s="40"/>
      <c r="M150" s="36"/>
      <c r="N150" s="36"/>
      <c r="O150" s="38"/>
      <c r="P150" s="38"/>
      <c r="Q150" s="176" t="e">
        <f>MONTH([1]!Tableau13[[#This Row],[Date début]])</f>
        <v>#REF!</v>
      </c>
      <c r="R150" s="180" t="e">
        <f>YEAR([1]!Tableau13[[#This Row],[Date début]])</f>
        <v>#REF!</v>
      </c>
    </row>
    <row r="151" spans="1:18" ht="75" customHeight="1">
      <c r="A151" s="35">
        <v>43883</v>
      </c>
      <c r="B151" s="36">
        <v>408</v>
      </c>
      <c r="C151" s="37" t="str">
        <f>IF(ISNA(VLOOKUP(Tableau13[[#This Row],[Code]],'Code Véhicule'!$A$4:$C$185,2,0)),"",VLOOKUP(Tableau13[[#This Row],[Code]],'Code Véhicule'!$A$4:$C$185,2,0))</f>
        <v>Camion</v>
      </c>
      <c r="D151" s="38" t="str">
        <f>IF(ISNA(VLOOKUP(Tableau13[[#This Row],[Code]],'Code Véhicule'!$A$4:$C$185,3,0)),"",VLOOKUP(Tableau13[[#This Row],[Code]],'Code Véhicule'!$A$4:$C$185,3,0))</f>
        <v>Mitsubishi</v>
      </c>
      <c r="E151" s="36" t="str">
        <f>IF(ISNA(VLOOKUP(Tableau13[[#This Row],[Code]],'Code Véhicule'!$A$4:$D$185,4,0))," ",VLOOKUP(Tableau13[[#This Row],[Code]],'Code Véhicule'!$A$4:$D$185,4,0))</f>
        <v>4703-A-73</v>
      </c>
      <c r="F151" s="36">
        <v>22961</v>
      </c>
      <c r="G151" s="38" t="s">
        <v>610</v>
      </c>
      <c r="H151" s="38" t="s">
        <v>625</v>
      </c>
      <c r="I151" s="36" t="s">
        <v>304</v>
      </c>
      <c r="J151" s="36" t="s">
        <v>626</v>
      </c>
      <c r="K151" s="36"/>
      <c r="L151" s="40">
        <v>2850</v>
      </c>
      <c r="M151" s="40">
        <v>4560</v>
      </c>
      <c r="N151" s="41">
        <v>43899</v>
      </c>
      <c r="O151" s="45"/>
      <c r="P151" s="45"/>
      <c r="Q151" s="176" t="e">
        <f>MONTH([1]!Tableau13[[#This Row],[Date début]])</f>
        <v>#REF!</v>
      </c>
      <c r="R151" s="180" t="e">
        <f>YEAR([1]!Tableau13[[#This Row],[Date début]])</f>
        <v>#REF!</v>
      </c>
    </row>
    <row r="152" spans="1:18" ht="15.75" customHeight="1">
      <c r="A152" s="35">
        <v>43885</v>
      </c>
      <c r="B152" s="36">
        <v>410</v>
      </c>
      <c r="C152" s="37" t="str">
        <f>IF(ISNA(VLOOKUP(Tableau13[[#This Row],[Code]],'Code Véhicule'!$A$4:$C$185,2,0)),"",VLOOKUP(Tableau13[[#This Row],[Code]],'Code Véhicule'!$A$4:$C$185,2,0))</f>
        <v>Semi remorque</v>
      </c>
      <c r="D152" s="38" t="str">
        <f>IF(ISNA(VLOOKUP(Tableau13[[#This Row],[Code]],'Code Véhicule'!$A$4:$C$185,3,0)),"",VLOOKUP(Tableau13[[#This Row],[Code]],'Code Véhicule'!$A$4:$C$185,3,0))</f>
        <v>MAN</v>
      </c>
      <c r="E152" s="36" t="str">
        <f>IF(ISNA(VLOOKUP(Tableau13[[#This Row],[Code]],'Code Véhicule'!$A$4:$D$185,4,0))," ",VLOOKUP(Tableau13[[#This Row],[Code]],'Code Véhicule'!$A$4:$D$185,4,0))</f>
        <v xml:space="preserve">28659-D-1 </v>
      </c>
      <c r="F152" s="36">
        <v>22499</v>
      </c>
      <c r="G152" s="38" t="s">
        <v>389</v>
      </c>
      <c r="H152" s="38"/>
      <c r="I152" s="36" t="s">
        <v>304</v>
      </c>
      <c r="J152" s="36" t="s">
        <v>372</v>
      </c>
      <c r="K152" s="36">
        <v>143503</v>
      </c>
      <c r="L152" s="40">
        <v>60</v>
      </c>
      <c r="M152" s="36">
        <v>60</v>
      </c>
      <c r="N152" s="41">
        <v>43885</v>
      </c>
      <c r="O152" s="38"/>
      <c r="P152" s="38"/>
      <c r="Q152" s="176" t="e">
        <f>MONTH([1]!Tableau13[[#This Row],[Date début]])</f>
        <v>#REF!</v>
      </c>
      <c r="R152" s="180" t="e">
        <f>YEAR([1]!Tableau13[[#This Row],[Date début]])</f>
        <v>#REF!</v>
      </c>
    </row>
    <row r="153" spans="1:18" ht="15.75" customHeight="1">
      <c r="A153" s="35">
        <v>43886</v>
      </c>
      <c r="B153" s="36">
        <v>438</v>
      </c>
      <c r="C153" s="37" t="str">
        <f>IF(ISNA(VLOOKUP(Tableau13[[#This Row],[Code]],'Code Véhicule'!$A$4:$C$185,2,0)),"",VLOOKUP(Tableau13[[#This Row],[Code]],'Code Véhicule'!$A$4:$C$185,2,0))</f>
        <v>Semi remorque</v>
      </c>
      <c r="D153" s="38" t="str">
        <f>IF(ISNA(VLOOKUP(Tableau13[[#This Row],[Code]],'Code Véhicule'!$A$4:$C$185,3,0)),"",VLOOKUP(Tableau13[[#This Row],[Code]],'Code Véhicule'!$A$4:$C$185,3,0))</f>
        <v>VOLVO</v>
      </c>
      <c r="E153" s="36" t="str">
        <f>IF(ISNA(VLOOKUP(Tableau13[[#This Row],[Code]],'Code Véhicule'!$A$4:$D$185,4,0))," ",VLOOKUP(Tableau13[[#This Row],[Code]],'Code Véhicule'!$A$4:$D$185,4,0))</f>
        <v xml:space="preserve">17885-A-73 </v>
      </c>
      <c r="F153" s="36">
        <v>22500</v>
      </c>
      <c r="G153" s="38" t="s">
        <v>403</v>
      </c>
      <c r="H153" s="38"/>
      <c r="I153" s="36" t="s">
        <v>304</v>
      </c>
      <c r="J153" s="36" t="s">
        <v>479</v>
      </c>
      <c r="K153" s="36">
        <v>143505</v>
      </c>
      <c r="L153" s="40">
        <v>60</v>
      </c>
      <c r="M153" s="36">
        <v>60</v>
      </c>
      <c r="N153" s="41">
        <v>43886</v>
      </c>
      <c r="O153" s="38"/>
      <c r="P153" s="38"/>
      <c r="Q153" s="176" t="e">
        <f>MONTH([1]!Tableau13[[#This Row],[Date début]])</f>
        <v>#REF!</v>
      </c>
      <c r="R153" s="180" t="e">
        <f>YEAR([1]!Tableau13[[#This Row],[Date début]])</f>
        <v>#REF!</v>
      </c>
    </row>
    <row r="154" spans="1:18" ht="15.75" customHeight="1">
      <c r="A154" s="35">
        <v>43887</v>
      </c>
      <c r="B154" s="36">
        <v>403</v>
      </c>
      <c r="C154" s="37" t="str">
        <f>IF(ISNA(VLOOKUP(Tableau13[[#This Row],[Code]],'Code Véhicule'!$A$4:$C$185,2,0)),"",VLOOKUP(Tableau13[[#This Row],[Code]],'Code Véhicule'!$A$4:$C$185,2,0))</f>
        <v>Camion</v>
      </c>
      <c r="D154" s="38" t="str">
        <f>IF(ISNA(VLOOKUP(Tableau13[[#This Row],[Code]],'Code Véhicule'!$A$4:$C$185,3,0)),"",VLOOKUP(Tableau13[[#This Row],[Code]],'Code Véhicule'!$A$4:$C$185,3,0))</f>
        <v>MAN</v>
      </c>
      <c r="E154" s="36" t="str">
        <f>IF(ISNA(VLOOKUP(Tableau13[[#This Row],[Code]],'Code Véhicule'!$A$4:$D$185,4,0))," ",VLOOKUP(Tableau13[[#This Row],[Code]],'Code Véhicule'!$A$4:$D$185,4,0))</f>
        <v>4790-B-8</v>
      </c>
      <c r="F154" s="36">
        <v>22954</v>
      </c>
      <c r="G154" s="38" t="s">
        <v>525</v>
      </c>
      <c r="H154" s="38" t="s">
        <v>619</v>
      </c>
      <c r="I154" s="36" t="s">
        <v>304</v>
      </c>
      <c r="J154" s="36" t="s">
        <v>618</v>
      </c>
      <c r="K154" s="36">
        <v>144510</v>
      </c>
      <c r="L154" s="40">
        <v>120</v>
      </c>
      <c r="M154" s="40">
        <v>120</v>
      </c>
      <c r="N154" s="41">
        <v>43887</v>
      </c>
      <c r="O154" s="45"/>
      <c r="P154" s="45"/>
      <c r="Q154" s="176" t="e">
        <f>MONTH([1]!Tableau13[[#This Row],[Date début]])</f>
        <v>#REF!</v>
      </c>
      <c r="R154" s="180" t="e">
        <f>YEAR([1]!Tableau13[[#This Row],[Date début]])</f>
        <v>#REF!</v>
      </c>
    </row>
    <row r="155" spans="1:18">
      <c r="A155" s="35">
        <v>43888</v>
      </c>
      <c r="B155" s="36">
        <v>471</v>
      </c>
      <c r="C155" s="37" t="str">
        <f>IF(ISNA(VLOOKUP(Tableau13[[#This Row],[Code]],'Code Véhicule'!$A$4:$C$185,2,0)),"",VLOOKUP(Tableau13[[#This Row],[Code]],'Code Véhicule'!$A$4:$C$185,2,0))</f>
        <v>Bus de transport</v>
      </c>
      <c r="D155" s="38" t="str">
        <f>IF(ISNA(VLOOKUP(Tableau13[[#This Row],[Code]],'Code Véhicule'!$A$4:$C$185,3,0)),"",VLOOKUP(Tableau13[[#This Row],[Code]],'Code Véhicule'!$A$4:$C$185,3,0))</f>
        <v xml:space="preserve">Hyundai County </v>
      </c>
      <c r="E155" s="36" t="str">
        <f>IF(ISNA(VLOOKUP(Tableau13[[#This Row],[Code]],'Code Véhicule'!$A$4:$D$185,4,0))," ",VLOOKUP(Tableau13[[#This Row],[Code]],'Code Véhicule'!$A$4:$D$185,4,0))</f>
        <v>18516-A-73</v>
      </c>
      <c r="F155" s="36">
        <v>22955</v>
      </c>
      <c r="G155" s="38" t="s">
        <v>545</v>
      </c>
      <c r="H155" s="38" t="s">
        <v>620</v>
      </c>
      <c r="I155" s="36" t="s">
        <v>304</v>
      </c>
      <c r="J155" s="36" t="s">
        <v>621</v>
      </c>
      <c r="K155" s="36">
        <v>144512</v>
      </c>
      <c r="L155" s="40">
        <v>180</v>
      </c>
      <c r="M155" s="40">
        <v>180</v>
      </c>
      <c r="N155" s="41">
        <v>43888</v>
      </c>
      <c r="O155" s="45"/>
      <c r="P155" s="45"/>
      <c r="Q155" s="176" t="e">
        <f>MONTH([1]!Tableau13[[#This Row],[Date début]])</f>
        <v>#REF!</v>
      </c>
      <c r="R155" s="180" t="e">
        <f>YEAR([1]!Tableau13[[#This Row],[Date début]])</f>
        <v>#REF!</v>
      </c>
    </row>
    <row r="156" spans="1:18" ht="15.75" customHeight="1">
      <c r="A156" s="35">
        <v>43888</v>
      </c>
      <c r="B156" s="36">
        <v>438</v>
      </c>
      <c r="C156" s="37" t="str">
        <f>IF(ISNA(VLOOKUP(Tableau13[[#This Row],[Code]],'Code Véhicule'!$A$4:$C$185,2,0)),"",VLOOKUP(Tableau13[[#This Row],[Code]],'Code Véhicule'!$A$4:$C$185,2,0))</f>
        <v>Semi remorque</v>
      </c>
      <c r="D156" s="38" t="str">
        <f>IF(ISNA(VLOOKUP(Tableau13[[#This Row],[Code]],'Code Véhicule'!$A$4:$C$185,3,0)),"",VLOOKUP(Tableau13[[#This Row],[Code]],'Code Véhicule'!$A$4:$C$185,3,0))</f>
        <v>VOLVO</v>
      </c>
      <c r="E156" s="36" t="str">
        <f>IF(ISNA(VLOOKUP(Tableau13[[#This Row],[Code]],'Code Véhicule'!$A$4:$D$185,4,0))," ",VLOOKUP(Tableau13[[#This Row],[Code]],'Code Véhicule'!$A$4:$D$185,4,0))</f>
        <v xml:space="preserve">17885-A-73 </v>
      </c>
      <c r="F156" s="36">
        <v>22956</v>
      </c>
      <c r="G156" s="38" t="s">
        <v>525</v>
      </c>
      <c r="H156" s="38" t="s">
        <v>622</v>
      </c>
      <c r="I156" s="36" t="s">
        <v>304</v>
      </c>
      <c r="J156" s="36" t="s">
        <v>372</v>
      </c>
      <c r="K156" s="36">
        <v>144513</v>
      </c>
      <c r="L156" s="40">
        <v>120</v>
      </c>
      <c r="M156" s="40">
        <v>120</v>
      </c>
      <c r="N156" s="41">
        <v>43888</v>
      </c>
      <c r="O156" s="45"/>
      <c r="P156" s="45"/>
      <c r="Q156" s="176" t="e">
        <f>MONTH([1]!Tableau13[[#This Row],[Date début]])</f>
        <v>#REF!</v>
      </c>
      <c r="R156" s="180" t="e">
        <f>YEAR([1]!Tableau13[[#This Row],[Date début]])</f>
        <v>#REF!</v>
      </c>
    </row>
    <row r="157" spans="1:18" ht="15.75" customHeight="1">
      <c r="A157" s="35">
        <v>43893</v>
      </c>
      <c r="B157" s="36">
        <v>411</v>
      </c>
      <c r="C157" s="37" t="str">
        <f>IF(ISNA(VLOOKUP(Tableau13[[#This Row],[Code]],'Code Véhicule'!$A$4:$C$185,2,0)),"",VLOOKUP(Tableau13[[#This Row],[Code]],'Code Véhicule'!$A$4:$C$185,2,0))</f>
        <v>Camion</v>
      </c>
      <c r="D157" s="38" t="str">
        <f>IF(ISNA(VLOOKUP(Tableau13[[#This Row],[Code]],'Code Véhicule'!$A$4:$C$185,3,0)),"",VLOOKUP(Tableau13[[#This Row],[Code]],'Code Véhicule'!$A$4:$C$185,3,0))</f>
        <v>Renault</v>
      </c>
      <c r="E157" s="36" t="str">
        <f>IF(ISNA(VLOOKUP(Tableau13[[#This Row],[Code]],'Code Véhicule'!$A$4:$D$185,4,0))," ",VLOOKUP(Tableau13[[#This Row],[Code]],'Code Véhicule'!$A$4:$D$185,4,0))</f>
        <v>25636-A-13</v>
      </c>
      <c r="F157" s="36">
        <v>22958</v>
      </c>
      <c r="G157" s="38" t="s">
        <v>525</v>
      </c>
      <c r="H157" s="38" t="s">
        <v>622</v>
      </c>
      <c r="I157" s="36"/>
      <c r="J157" s="36" t="s">
        <v>372</v>
      </c>
      <c r="K157" s="36">
        <v>144520</v>
      </c>
      <c r="L157" s="40">
        <v>120</v>
      </c>
      <c r="M157" s="40">
        <v>120</v>
      </c>
      <c r="N157" s="41">
        <v>43893</v>
      </c>
      <c r="O157" s="45"/>
      <c r="P157" s="45"/>
      <c r="Q157" s="176" t="e">
        <f>MONTH([1]!Tableau13[[#This Row],[Date début]])</f>
        <v>#REF!</v>
      </c>
      <c r="R157" s="180" t="e">
        <f>YEAR([1]!Tableau13[[#This Row],[Date début]])</f>
        <v>#REF!</v>
      </c>
    </row>
    <row r="158" spans="1:18" ht="15.75" customHeight="1">
      <c r="A158" s="35">
        <v>43894</v>
      </c>
      <c r="B158" s="36">
        <v>409</v>
      </c>
      <c r="C158" s="37" t="str">
        <f>IF(ISNA(VLOOKUP(Tableau13[[#This Row],[Code]],'Code Véhicule'!$A$4:$C$185,2,0)),"",VLOOKUP(Tableau13[[#This Row],[Code]],'Code Véhicule'!$A$4:$C$185,2,0))</f>
        <v>Camion</v>
      </c>
      <c r="D158" s="38" t="str">
        <f>IF(ISNA(VLOOKUP(Tableau13[[#This Row],[Code]],'Code Véhicule'!$A$4:$C$185,3,0)),"",VLOOKUP(Tableau13[[#This Row],[Code]],'Code Véhicule'!$A$4:$C$185,3,0))</f>
        <v>Mitsubishi</v>
      </c>
      <c r="E158" s="36" t="str">
        <f>IF(ISNA(VLOOKUP(Tableau13[[#This Row],[Code]],'Code Véhicule'!$A$4:$D$185,4,0))," ",VLOOKUP(Tableau13[[#This Row],[Code]],'Code Véhicule'!$A$4:$D$185,4,0))</f>
        <v xml:space="preserve">4969-A-73 </v>
      </c>
      <c r="F158" s="36">
        <v>22959</v>
      </c>
      <c r="G158" s="38" t="s">
        <v>393</v>
      </c>
      <c r="H158" s="38" t="s">
        <v>613</v>
      </c>
      <c r="I158" s="36" t="s">
        <v>302</v>
      </c>
      <c r="J158" s="36" t="s">
        <v>623</v>
      </c>
      <c r="K158" s="36">
        <v>144524</v>
      </c>
      <c r="L158" s="40">
        <v>30</v>
      </c>
      <c r="M158" s="40">
        <v>30</v>
      </c>
      <c r="N158" s="41">
        <v>43894</v>
      </c>
      <c r="O158" s="45"/>
      <c r="P158" s="45"/>
      <c r="Q158" s="176" t="e">
        <f>MONTH([1]!Tableau13[[#This Row],[Date début]])</f>
        <v>#REF!</v>
      </c>
      <c r="R158" s="180" t="e">
        <f>YEAR([1]!Tableau13[[#This Row],[Date début]])</f>
        <v>#REF!</v>
      </c>
    </row>
    <row r="159" spans="1:18">
      <c r="A159" s="35">
        <v>43896</v>
      </c>
      <c r="B159" s="36">
        <v>479</v>
      </c>
      <c r="C159" s="37" t="str">
        <f>IF(ISNA(VLOOKUP(Tableau13[[#This Row],[Code]],'Code Véhicule'!$A$4:$C$185,2,0)),"",VLOOKUP(Tableau13[[#This Row],[Code]],'Code Véhicule'!$A$4:$C$185,2,0))</f>
        <v>Bus de transport</v>
      </c>
      <c r="D159" s="38" t="str">
        <f>IF(ISNA(VLOOKUP(Tableau13[[#This Row],[Code]],'Code Véhicule'!$A$4:$C$185,3,0)),"",VLOOKUP(Tableau13[[#This Row],[Code]],'Code Véhicule'!$A$4:$C$185,3,0))</f>
        <v>Hyundai County</v>
      </c>
      <c r="E159" s="36" t="str">
        <f>IF(ISNA(VLOOKUP(Tableau13[[#This Row],[Code]],'Code Véhicule'!$A$4:$D$185,4,0))," ",VLOOKUP(Tableau13[[#This Row],[Code]],'Code Véhicule'!$A$4:$D$185,4,0))</f>
        <v>22772-A-73</v>
      </c>
      <c r="F159" s="36">
        <v>22960</v>
      </c>
      <c r="G159" s="38" t="s">
        <v>393</v>
      </c>
      <c r="H159" s="38" t="s">
        <v>608</v>
      </c>
      <c r="I159" s="36" t="s">
        <v>302</v>
      </c>
      <c r="J159" s="36" t="s">
        <v>624</v>
      </c>
      <c r="K159" s="36">
        <v>144528</v>
      </c>
      <c r="L159" s="40">
        <v>180</v>
      </c>
      <c r="M159" s="40">
        <v>180</v>
      </c>
      <c r="N159" s="41">
        <v>43896</v>
      </c>
      <c r="O159" s="45"/>
      <c r="P159" s="45"/>
      <c r="Q159" s="176" t="e">
        <f>MONTH([1]!Tableau13[[#This Row],[Date début]])</f>
        <v>#REF!</v>
      </c>
      <c r="R159" s="180" t="e">
        <f>YEAR([1]!Tableau13[[#This Row],[Date début]])</f>
        <v>#REF!</v>
      </c>
    </row>
    <row r="160" spans="1:18">
      <c r="A160" s="35">
        <v>43896</v>
      </c>
      <c r="B160" s="36">
        <v>471</v>
      </c>
      <c r="C160" s="37" t="str">
        <f>IF(ISNA(VLOOKUP(Tableau13[[#This Row],[Code]],'Code Véhicule'!$A$4:$C$185,2,0)),"",VLOOKUP(Tableau13[[#This Row],[Code]],'Code Véhicule'!$A$4:$C$185,2,0))</f>
        <v>Bus de transport</v>
      </c>
      <c r="D160" s="38" t="str">
        <f>IF(ISNA(VLOOKUP(Tableau13[[#This Row],[Code]],'Code Véhicule'!$A$4:$C$185,3,0)),"",VLOOKUP(Tableau13[[#This Row],[Code]],'Code Véhicule'!$A$4:$C$185,3,0))</f>
        <v xml:space="preserve">Hyundai County </v>
      </c>
      <c r="E160" s="36" t="str">
        <f>IF(ISNA(VLOOKUP(Tableau13[[#This Row],[Code]],'Code Véhicule'!$A$4:$D$185,4,0))," ",VLOOKUP(Tableau13[[#This Row],[Code]],'Code Véhicule'!$A$4:$D$185,4,0))</f>
        <v>18516-A-73</v>
      </c>
      <c r="F160" s="36">
        <v>22963</v>
      </c>
      <c r="G160" s="38" t="s">
        <v>393</v>
      </c>
      <c r="H160" s="38" t="s">
        <v>608</v>
      </c>
      <c r="I160" s="36" t="s">
        <v>302</v>
      </c>
      <c r="J160" s="36" t="s">
        <v>627</v>
      </c>
      <c r="K160" s="36">
        <v>144529</v>
      </c>
      <c r="L160" s="40">
        <v>240</v>
      </c>
      <c r="M160" s="40">
        <v>240</v>
      </c>
      <c r="N160" s="41">
        <v>43896</v>
      </c>
      <c r="O160" s="45"/>
      <c r="P160" s="45"/>
      <c r="Q160" s="176" t="e">
        <f>MONTH([1]!Tableau13[[#This Row],[Date début]])</f>
        <v>#REF!</v>
      </c>
      <c r="R160" s="180" t="e">
        <f>YEAR([1]!Tableau13[[#This Row],[Date début]])</f>
        <v>#REF!</v>
      </c>
    </row>
    <row r="161" spans="1:18" ht="15.75" customHeight="1">
      <c r="A161" s="35">
        <v>43896</v>
      </c>
      <c r="B161" s="36">
        <v>436</v>
      </c>
      <c r="C161" s="37" t="str">
        <f>IF(ISNA(VLOOKUP(Tableau13[[#This Row],[Code]],'Code Véhicule'!$A$4:$C$185,2,0)),"",VLOOKUP(Tableau13[[#This Row],[Code]],'Code Véhicule'!$A$4:$C$185,2,0))</f>
        <v>Camion</v>
      </c>
      <c r="D161" s="38" t="str">
        <f>IF(ISNA(VLOOKUP(Tableau13[[#This Row],[Code]],'Code Véhicule'!$A$4:$C$185,3,0)),"",VLOOKUP(Tableau13[[#This Row],[Code]],'Code Véhicule'!$A$4:$C$185,3,0))</f>
        <v>Mitsubishi</v>
      </c>
      <c r="E161" s="36" t="str">
        <f>IF(ISNA(VLOOKUP(Tableau13[[#This Row],[Code]],'Code Véhicule'!$A$4:$D$185,4,0))," ",VLOOKUP(Tableau13[[#This Row],[Code]],'Code Véhicule'!$A$4:$D$185,4,0))</f>
        <v>11470-A-73</v>
      </c>
      <c r="F161" s="36">
        <v>22964</v>
      </c>
      <c r="G161" s="38" t="s">
        <v>525</v>
      </c>
      <c r="H161" s="38" t="s">
        <v>622</v>
      </c>
      <c r="I161" s="36" t="s">
        <v>304</v>
      </c>
      <c r="J161" s="36" t="s">
        <v>628</v>
      </c>
      <c r="K161" s="36">
        <v>144535</v>
      </c>
      <c r="L161" s="40">
        <v>120</v>
      </c>
      <c r="M161" s="40">
        <v>120</v>
      </c>
      <c r="N161" s="41">
        <v>43896</v>
      </c>
      <c r="O161" s="45"/>
      <c r="P161" s="45"/>
      <c r="Q161" s="176" t="e">
        <f>MONTH([1]!Tableau13[[#This Row],[Date début]])</f>
        <v>#REF!</v>
      </c>
      <c r="R161" s="180" t="e">
        <f>YEAR([1]!Tableau13[[#This Row],[Date début]])</f>
        <v>#REF!</v>
      </c>
    </row>
    <row r="162" spans="1:18" ht="30" customHeight="1">
      <c r="A162" s="35">
        <v>43896</v>
      </c>
      <c r="B162" s="36">
        <v>430</v>
      </c>
      <c r="C162" s="37" t="str">
        <f>IF(ISNA(VLOOKUP(Tableau13[[#This Row],[Code]],'Code Véhicule'!$A$4:$C$185,2,0)),"",VLOOKUP(Tableau13[[#This Row],[Code]],'Code Véhicule'!$A$4:$C$185,2,0))</f>
        <v>Chariot elevateur</v>
      </c>
      <c r="D162" s="38" t="str">
        <f>IF(ISNA(VLOOKUP(Tableau13[[#This Row],[Code]],'Code Véhicule'!$A$4:$C$185,3,0)),"",VLOOKUP(Tableau13[[#This Row],[Code]],'Code Véhicule'!$A$4:$C$185,3,0))</f>
        <v>Fenwick  H40</v>
      </c>
      <c r="E162" s="36" t="str">
        <f>IF(ISNA(VLOOKUP(Tableau13[[#This Row],[Code]],'Code Véhicule'!$A$4:$D$185,4,0))," ",VLOOKUP(Tableau13[[#This Row],[Code]],'Code Véhicule'!$A$4:$D$185,4,0))</f>
        <v>-</v>
      </c>
      <c r="F162" s="36">
        <v>22415</v>
      </c>
      <c r="G162" s="38" t="s">
        <v>508</v>
      </c>
      <c r="H162" s="38"/>
      <c r="I162" s="36" t="s">
        <v>304</v>
      </c>
      <c r="J162" s="36" t="s">
        <v>509</v>
      </c>
      <c r="K162" s="36" t="s">
        <v>510</v>
      </c>
      <c r="L162" s="40">
        <v>180</v>
      </c>
      <c r="M162" s="36">
        <v>180</v>
      </c>
      <c r="N162" s="41">
        <v>43896</v>
      </c>
      <c r="O162" s="38"/>
      <c r="P162" s="38"/>
      <c r="Q162" s="176" t="e">
        <f>MONTH([1]!Tableau13[[#This Row],[Date début]])</f>
        <v>#REF!</v>
      </c>
      <c r="R162" s="180" t="e">
        <f>YEAR([1]!Tableau13[[#This Row],[Date début]])</f>
        <v>#REF!</v>
      </c>
    </row>
    <row r="163" spans="1:18" ht="30" customHeight="1">
      <c r="A163" s="35">
        <v>43899</v>
      </c>
      <c r="B163" s="36">
        <v>435</v>
      </c>
      <c r="C163" s="37" t="str">
        <f>IF(ISNA(VLOOKUP(Tableau13[[#This Row],[Code]],'Code Véhicule'!$A$4:$C$185,2,0)),"",VLOOKUP(Tableau13[[#This Row],[Code]],'Code Véhicule'!$A$4:$C$185,2,0))</f>
        <v>Camion</v>
      </c>
      <c r="D163" s="38" t="str">
        <f>IF(ISNA(VLOOKUP(Tableau13[[#This Row],[Code]],'Code Véhicule'!$A$4:$C$185,3,0)),"",VLOOKUP(Tableau13[[#This Row],[Code]],'Code Véhicule'!$A$4:$C$185,3,0))</f>
        <v>Mitsubishi</v>
      </c>
      <c r="E163" s="36" t="str">
        <f>IF(ISNA(VLOOKUP(Tableau13[[#This Row],[Code]],'Code Véhicule'!$A$4:$D$185,4,0))," ",VLOOKUP(Tableau13[[#This Row],[Code]],'Code Véhicule'!$A$4:$D$185,4,0))</f>
        <v xml:space="preserve"> 11469-A-73</v>
      </c>
      <c r="F163" s="36">
        <v>22965</v>
      </c>
      <c r="G163" s="38" t="s">
        <v>493</v>
      </c>
      <c r="H163" s="38" t="s">
        <v>601</v>
      </c>
      <c r="I163" s="36" t="s">
        <v>304</v>
      </c>
      <c r="J163" s="36" t="s">
        <v>629</v>
      </c>
      <c r="K163" s="36">
        <v>144541</v>
      </c>
      <c r="L163" s="40">
        <v>360</v>
      </c>
      <c r="M163" s="40">
        <v>360</v>
      </c>
      <c r="N163" s="41">
        <v>43899</v>
      </c>
      <c r="O163" s="45"/>
      <c r="P163" s="45"/>
      <c r="Q163" s="176" t="e">
        <f>MONTH([1]!Tableau13[[#This Row],[Date début]])</f>
        <v>#REF!</v>
      </c>
      <c r="R163" s="180" t="e">
        <f>YEAR([1]!Tableau13[[#This Row],[Date début]])</f>
        <v>#REF!</v>
      </c>
    </row>
    <row r="164" spans="1:18" ht="15.75" customHeight="1">
      <c r="A164" s="35">
        <v>43899</v>
      </c>
      <c r="B164" s="36">
        <v>481</v>
      </c>
      <c r="C164" s="37" t="str">
        <f>IF(ISNA(VLOOKUP(Tableau13[[#This Row],[Code]],'Code Véhicule'!$A$4:$C$185,2,0)),"",VLOOKUP(Tableau13[[#This Row],[Code]],'Code Véhicule'!$A$4:$C$185,2,0))</f>
        <v>Camion</v>
      </c>
      <c r="D164" s="38" t="str">
        <f>IF(ISNA(VLOOKUP(Tableau13[[#This Row],[Code]],'Code Véhicule'!$A$4:$C$185,3,0)),"",VLOOKUP(Tableau13[[#This Row],[Code]],'Code Véhicule'!$A$4:$C$185,3,0))</f>
        <v>VOLVO</v>
      </c>
      <c r="E164" s="36" t="str">
        <f>IF(ISNA(VLOOKUP(Tableau13[[#This Row],[Code]],'Code Véhicule'!$A$4:$D$185,4,0))," ",VLOOKUP(Tableau13[[#This Row],[Code]],'Code Véhicule'!$A$4:$D$185,4,0))</f>
        <v>22300-A-73</v>
      </c>
      <c r="F164" s="36">
        <v>22966</v>
      </c>
      <c r="G164" s="38" t="s">
        <v>393</v>
      </c>
      <c r="H164" s="38" t="s">
        <v>608</v>
      </c>
      <c r="I164" s="36" t="s">
        <v>302</v>
      </c>
      <c r="J164" s="36" t="s">
        <v>315</v>
      </c>
      <c r="K164" s="36">
        <v>144542</v>
      </c>
      <c r="L164" s="40">
        <v>570</v>
      </c>
      <c r="M164" s="40">
        <v>570</v>
      </c>
      <c r="N164" s="41">
        <v>43899</v>
      </c>
      <c r="O164" s="45"/>
      <c r="P164" s="45"/>
      <c r="Q164" s="176" t="e">
        <f>MONTH([1]!Tableau13[[#This Row],[Date début]])</f>
        <v>#REF!</v>
      </c>
      <c r="R164" s="180" t="e">
        <f>YEAR([1]!Tableau13[[#This Row],[Date début]])</f>
        <v>#REF!</v>
      </c>
    </row>
    <row r="165" spans="1:18" ht="15.75" customHeight="1">
      <c r="A165" s="35">
        <v>43899</v>
      </c>
      <c r="B165" s="36">
        <v>434</v>
      </c>
      <c r="C165" s="37" t="str">
        <f>IF(ISNA(VLOOKUP(Tableau13[[#This Row],[Code]],'Code Véhicule'!$A$4:$C$185,2,0)),"",VLOOKUP(Tableau13[[#This Row],[Code]],'Code Véhicule'!$A$4:$C$185,2,0))</f>
        <v>Chariot elevateur</v>
      </c>
      <c r="D165" s="38" t="str">
        <f>IF(ISNA(VLOOKUP(Tableau13[[#This Row],[Code]],'Code Véhicule'!$A$4:$C$185,3,0)),"",VLOOKUP(Tableau13[[#This Row],[Code]],'Code Véhicule'!$A$4:$C$185,3,0))</f>
        <v>Linde H30D</v>
      </c>
      <c r="E165" s="36" t="str">
        <f>IF(ISNA(VLOOKUP(Tableau13[[#This Row],[Code]],'Code Véhicule'!$A$4:$D$185,4,0))," ",VLOOKUP(Tableau13[[#This Row],[Code]],'Code Véhicule'!$A$4:$D$185,4,0))</f>
        <v>-</v>
      </c>
      <c r="F165" s="36">
        <v>22416</v>
      </c>
      <c r="G165" s="38" t="s">
        <v>511</v>
      </c>
      <c r="H165" s="38"/>
      <c r="I165" s="36" t="s">
        <v>304</v>
      </c>
      <c r="J165" s="36" t="s">
        <v>512</v>
      </c>
      <c r="K165" s="36">
        <v>144538</v>
      </c>
      <c r="L165" s="40">
        <v>300</v>
      </c>
      <c r="M165" s="36">
        <v>300</v>
      </c>
      <c r="N165" s="41">
        <v>43899</v>
      </c>
      <c r="O165" s="38"/>
      <c r="P165" s="38"/>
      <c r="Q165" s="176" t="e">
        <f>MONTH([1]!Tableau13[[#This Row],[Date début]])</f>
        <v>#REF!</v>
      </c>
      <c r="R165" s="180" t="e">
        <f>YEAR([1]!Tableau13[[#This Row],[Date début]])</f>
        <v>#REF!</v>
      </c>
    </row>
    <row r="166" spans="1:18" ht="15.75" customHeight="1">
      <c r="A166" s="35">
        <v>43900</v>
      </c>
      <c r="B166" s="36">
        <v>480</v>
      </c>
      <c r="C166" s="37" t="str">
        <f>IF(ISNA(VLOOKUP(Tableau13[[#This Row],[Code]],'Code Véhicule'!$A$4:$C$185,2,0)),"",VLOOKUP(Tableau13[[#This Row],[Code]],'Code Véhicule'!$A$4:$C$185,2,0))</f>
        <v>Camion</v>
      </c>
      <c r="D166" s="38" t="str">
        <f>IF(ISNA(VLOOKUP(Tableau13[[#This Row],[Code]],'Code Véhicule'!$A$4:$C$185,3,0)),"",VLOOKUP(Tableau13[[#This Row],[Code]],'Code Véhicule'!$A$4:$C$185,3,0))</f>
        <v>VOLVO</v>
      </c>
      <c r="E166" s="36" t="str">
        <f>IF(ISNA(VLOOKUP(Tableau13[[#This Row],[Code]],'Code Véhicule'!$A$4:$D$185,4,0))," ",VLOOKUP(Tableau13[[#This Row],[Code]],'Code Véhicule'!$A$4:$D$185,4,0))</f>
        <v>22299-A-73</v>
      </c>
      <c r="F166" s="36">
        <v>22968</v>
      </c>
      <c r="G166" s="38" t="s">
        <v>393</v>
      </c>
      <c r="H166" s="38" t="s">
        <v>608</v>
      </c>
      <c r="I166" s="36" t="s">
        <v>302</v>
      </c>
      <c r="J166" s="36" t="s">
        <v>315</v>
      </c>
      <c r="K166" s="36">
        <v>145202</v>
      </c>
      <c r="L166" s="40">
        <v>570</v>
      </c>
      <c r="M166" s="40">
        <v>570</v>
      </c>
      <c r="N166" s="41">
        <v>43900</v>
      </c>
      <c r="O166" s="45"/>
      <c r="P166" s="45"/>
      <c r="Q166" s="176" t="e">
        <f>MONTH([1]!Tableau13[[#This Row],[Date début]])</f>
        <v>#REF!</v>
      </c>
      <c r="R166" s="180" t="e">
        <f>YEAR([1]!Tableau13[[#This Row],[Date début]])</f>
        <v>#REF!</v>
      </c>
    </row>
    <row r="167" spans="1:18" ht="30" customHeight="1">
      <c r="A167" s="35">
        <v>43903</v>
      </c>
      <c r="B167" s="36">
        <v>430</v>
      </c>
      <c r="C167" s="37" t="str">
        <f>IF(ISNA(VLOOKUP(Tableau13[[#This Row],[Code]],'Code Véhicule'!$A$4:$C$185,2,0)),"",VLOOKUP(Tableau13[[#This Row],[Code]],'Code Véhicule'!$A$4:$C$185,2,0))</f>
        <v>Chariot elevateur</v>
      </c>
      <c r="D167" s="38" t="str">
        <f>IF(ISNA(VLOOKUP(Tableau13[[#This Row],[Code]],'Code Véhicule'!$A$4:$C$185,3,0)),"",VLOOKUP(Tableau13[[#This Row],[Code]],'Code Véhicule'!$A$4:$C$185,3,0))</f>
        <v>Fenwick  H40</v>
      </c>
      <c r="E167" s="36" t="str">
        <f>IF(ISNA(VLOOKUP(Tableau13[[#This Row],[Code]],'Code Véhicule'!$A$4:$D$185,4,0))," ",VLOOKUP(Tableau13[[#This Row],[Code]],'Code Véhicule'!$A$4:$D$185,4,0))</f>
        <v>-</v>
      </c>
      <c r="F167" s="36">
        <v>22417</v>
      </c>
      <c r="G167" s="38" t="s">
        <v>393</v>
      </c>
      <c r="H167" s="38"/>
      <c r="I167" s="36" t="s">
        <v>304</v>
      </c>
      <c r="J167" s="36" t="s">
        <v>513</v>
      </c>
      <c r="K167" s="36">
        <v>145216</v>
      </c>
      <c r="L167" s="40">
        <v>120</v>
      </c>
      <c r="M167" s="36">
        <v>120</v>
      </c>
      <c r="N167" s="41">
        <v>43903</v>
      </c>
      <c r="O167" s="38"/>
      <c r="P167" s="38"/>
      <c r="Q167" s="176" t="e">
        <f>MONTH([1]!Tableau13[[#This Row],[Date début]])</f>
        <v>#REF!</v>
      </c>
      <c r="R167" s="180" t="e">
        <f>YEAR([1]!Tableau13[[#This Row],[Date début]])</f>
        <v>#REF!</v>
      </c>
    </row>
    <row r="168" spans="1:18">
      <c r="A168" s="35">
        <v>43903</v>
      </c>
      <c r="B168" s="36">
        <v>479</v>
      </c>
      <c r="C168" s="37" t="str">
        <f>IF(ISNA(VLOOKUP(Tableau13[[#This Row],[Code]],'Code Véhicule'!$A$4:$C$185,2,0)),"",VLOOKUP(Tableau13[[#This Row],[Code]],'Code Véhicule'!$A$4:$C$185,2,0))</f>
        <v>Bus de transport</v>
      </c>
      <c r="D168" s="38" t="str">
        <f>IF(ISNA(VLOOKUP(Tableau13[[#This Row],[Code]],'Code Véhicule'!$A$4:$C$185,3,0)),"",VLOOKUP(Tableau13[[#This Row],[Code]],'Code Véhicule'!$A$4:$C$185,3,0))</f>
        <v>Hyundai County</v>
      </c>
      <c r="E168" s="36" t="str">
        <f>IF(ISNA(VLOOKUP(Tableau13[[#This Row],[Code]],'Code Véhicule'!$A$4:$D$185,4,0))," ",VLOOKUP(Tableau13[[#This Row],[Code]],'Code Véhicule'!$A$4:$D$185,4,0))</f>
        <v>22772-A-73</v>
      </c>
      <c r="F168" s="36">
        <v>22426</v>
      </c>
      <c r="G168" s="38" t="s">
        <v>525</v>
      </c>
      <c r="H168" s="38"/>
      <c r="I168" s="36" t="s">
        <v>304</v>
      </c>
      <c r="J168" s="36" t="s">
        <v>526</v>
      </c>
      <c r="K168" s="36">
        <v>145213</v>
      </c>
      <c r="L168" s="40">
        <v>60</v>
      </c>
      <c r="M168" s="36">
        <v>60</v>
      </c>
      <c r="N168" s="41">
        <v>43903</v>
      </c>
      <c r="O168" s="38"/>
      <c r="P168" s="38"/>
      <c r="Q168" s="176" t="e">
        <f>MONTH([1]!Tableau13[[#This Row],[Date début]])</f>
        <v>#REF!</v>
      </c>
      <c r="R168" s="180" t="e">
        <f>YEAR([1]!Tableau13[[#This Row],[Date début]])</f>
        <v>#REF!</v>
      </c>
    </row>
    <row r="169" spans="1:18" ht="60" customHeight="1">
      <c r="A169" s="35">
        <v>43905</v>
      </c>
      <c r="B169" s="36">
        <v>435</v>
      </c>
      <c r="C169" s="37" t="str">
        <f>IF(ISNA(VLOOKUP(Tableau13[[#This Row],[Code]],'Code Véhicule'!$A$4:$C$185,2,0)),"",VLOOKUP(Tableau13[[#This Row],[Code]],'Code Véhicule'!$A$4:$C$185,2,0))</f>
        <v>Camion</v>
      </c>
      <c r="D169" s="38" t="s">
        <v>903</v>
      </c>
      <c r="E169" s="36" t="str">
        <f>IF(ISNA(VLOOKUP(Tableau13[[#This Row],[Code]],'Code Véhicule'!$A$4:$D$185,4,0))," ",VLOOKUP(Tableau13[[#This Row],[Code]],'Code Véhicule'!$A$4:$D$185,4,0))</f>
        <v xml:space="preserve"> 11469-A-73</v>
      </c>
      <c r="F169" s="36">
        <v>22418</v>
      </c>
      <c r="G169" s="38" t="s">
        <v>393</v>
      </c>
      <c r="H169" s="38"/>
      <c r="I169" s="36" t="s">
        <v>302</v>
      </c>
      <c r="J169" s="36" t="s">
        <v>514</v>
      </c>
      <c r="K169" s="36" t="s">
        <v>515</v>
      </c>
      <c r="L169" s="40">
        <v>180</v>
      </c>
      <c r="M169" s="36">
        <v>180</v>
      </c>
      <c r="N169" s="41">
        <v>43905</v>
      </c>
      <c r="O169" s="38"/>
      <c r="P169" s="38"/>
      <c r="Q169" s="176" t="e">
        <f>MONTH([1]!Tableau13[[#This Row],[Date début]])</f>
        <v>#REF!</v>
      </c>
      <c r="R169" s="180" t="e">
        <f>YEAR([1]!Tableau13[[#This Row],[Date début]])</f>
        <v>#REF!</v>
      </c>
    </row>
    <row r="170" spans="1:18" ht="45" customHeight="1">
      <c r="A170" s="35">
        <v>43906</v>
      </c>
      <c r="B170" s="36">
        <v>407</v>
      </c>
      <c r="C170" s="37" t="str">
        <f>IF(ISNA(VLOOKUP(Tableau13[[#This Row],[Code]],'Code Véhicule'!$A$4:$C$185,2,0)),"",VLOOKUP(Tableau13[[#This Row],[Code]],'Code Véhicule'!$A$4:$C$185,2,0))</f>
        <v>Semi remorque</v>
      </c>
      <c r="D170" s="38" t="str">
        <f>IF(ISNA(VLOOKUP(Tableau13[[#This Row],[Code]],'Code Véhicule'!$A$4:$C$185,3,0)),"",VLOOKUP(Tableau13[[#This Row],[Code]],'Code Véhicule'!$A$4:$C$185,3,0))</f>
        <v>MAN</v>
      </c>
      <c r="E170" s="36" t="str">
        <f>IF(ISNA(VLOOKUP(Tableau13[[#This Row],[Code]],'Code Véhicule'!$A$4:$D$185,4,0))," ",VLOOKUP(Tableau13[[#This Row],[Code]],'Code Véhicule'!$A$4:$D$185,4,0))</f>
        <v>706-A-73</v>
      </c>
      <c r="F170" s="36">
        <v>22425</v>
      </c>
      <c r="G170" s="38" t="s">
        <v>523</v>
      </c>
      <c r="H170" s="38"/>
      <c r="I170" s="36" t="s">
        <v>304</v>
      </c>
      <c r="J170" s="36" t="s">
        <v>524</v>
      </c>
      <c r="K170" s="36">
        <v>145351</v>
      </c>
      <c r="L170" s="40">
        <v>2280</v>
      </c>
      <c r="M170" s="36">
        <v>2280</v>
      </c>
      <c r="N170" s="41">
        <v>43910</v>
      </c>
      <c r="O170" s="38"/>
      <c r="P170" s="38"/>
      <c r="Q170" s="176" t="e">
        <f>MONTH([1]!Tableau13[[#This Row],[Date début]])</f>
        <v>#REF!</v>
      </c>
      <c r="R170" s="180" t="e">
        <f>YEAR([1]!Tableau13[[#This Row],[Date début]])</f>
        <v>#REF!</v>
      </c>
    </row>
    <row r="171" spans="1:18" ht="45" customHeight="1">
      <c r="A171" s="35">
        <v>43908</v>
      </c>
      <c r="B171" s="36">
        <v>413</v>
      </c>
      <c r="C171" s="37" t="str">
        <f>IF(ISNA(VLOOKUP(Tableau13[[#This Row],[Code]],'Code Véhicule'!$A$4:$C$185,2,0)),"",VLOOKUP(Tableau13[[#This Row],[Code]],'Code Véhicule'!$A$4:$C$185,2,0))</f>
        <v>Chargeur</v>
      </c>
      <c r="D171" s="38" t="str">
        <f>IF(ISNA(VLOOKUP(Tableau13[[#This Row],[Code]],'Code Véhicule'!$A$4:$C$185,3,0)),"",VLOOKUP(Tableau13[[#This Row],[Code]],'Code Véhicule'!$A$4:$C$185,3,0))</f>
        <v>Caterpillar</v>
      </c>
      <c r="E171" s="36" t="str">
        <f>IF(ISNA(VLOOKUP(Tableau13[[#This Row],[Code]],'Code Véhicule'!$A$4:$D$185,4,0))," ",VLOOKUP(Tableau13[[#This Row],[Code]],'Code Véhicule'!$A$4:$D$185,4,0))</f>
        <v>-</v>
      </c>
      <c r="F171" s="36">
        <v>22419</v>
      </c>
      <c r="G171" s="38" t="s">
        <v>393</v>
      </c>
      <c r="H171" s="38"/>
      <c r="I171" s="36" t="s">
        <v>302</v>
      </c>
      <c r="J171" s="36" t="s">
        <v>516</v>
      </c>
      <c r="K171" s="36" t="s">
        <v>517</v>
      </c>
      <c r="L171" s="40">
        <v>180</v>
      </c>
      <c r="M171" s="36">
        <v>180</v>
      </c>
      <c r="N171" s="41">
        <v>43908</v>
      </c>
      <c r="O171" s="38"/>
      <c r="P171" s="38"/>
      <c r="Q171" s="176" t="e">
        <f>MONTH([1]!Tableau13[[#This Row],[Date début]])</f>
        <v>#REF!</v>
      </c>
      <c r="R171" s="180" t="e">
        <f>YEAR([1]!Tableau13[[#This Row],[Date début]])</f>
        <v>#REF!</v>
      </c>
    </row>
    <row r="172" spans="1:18" ht="30" customHeight="1">
      <c r="A172" s="35">
        <v>43908</v>
      </c>
      <c r="B172" s="36">
        <v>436</v>
      </c>
      <c r="C172" s="37" t="str">
        <f>IF(ISNA(VLOOKUP(Tableau13[[#This Row],[Code]],'Code Véhicule'!$A$4:$C$185,2,0)),"",VLOOKUP(Tableau13[[#This Row],[Code]],'Code Véhicule'!$A$4:$C$185,2,0))</f>
        <v>Camion</v>
      </c>
      <c r="D172" s="38" t="str">
        <f>IF(ISNA(VLOOKUP(Tableau13[[#This Row],[Code]],'Code Véhicule'!$A$4:$C$185,3,0)),"",VLOOKUP(Tableau13[[#This Row],[Code]],'Code Véhicule'!$A$4:$C$185,3,0))</f>
        <v>Mitsubishi</v>
      </c>
      <c r="E172" s="36" t="str">
        <f>IF(ISNA(VLOOKUP(Tableau13[[#This Row],[Code]],'Code Véhicule'!$A$4:$D$185,4,0))," ",VLOOKUP(Tableau13[[#This Row],[Code]],'Code Véhicule'!$A$4:$D$185,4,0))</f>
        <v>11470-A-73</v>
      </c>
      <c r="F172" s="36">
        <v>22420</v>
      </c>
      <c r="G172" s="38" t="s">
        <v>393</v>
      </c>
      <c r="H172" s="38"/>
      <c r="I172" s="36" t="s">
        <v>302</v>
      </c>
      <c r="J172" s="36" t="s">
        <v>518</v>
      </c>
      <c r="K172" s="36">
        <v>145227</v>
      </c>
      <c r="L172" s="40">
        <v>120</v>
      </c>
      <c r="M172" s="36">
        <v>120</v>
      </c>
      <c r="N172" s="41">
        <v>43908</v>
      </c>
      <c r="O172" s="38"/>
      <c r="P172" s="38"/>
      <c r="Q172" s="176" t="e">
        <f>MONTH([1]!Tableau13[[#This Row],[Date début]])</f>
        <v>#REF!</v>
      </c>
      <c r="R172" s="180" t="e">
        <f>YEAR([1]!Tableau13[[#This Row],[Date début]])</f>
        <v>#REF!</v>
      </c>
    </row>
    <row r="173" spans="1:18" ht="30" customHeight="1">
      <c r="A173" s="35">
        <v>43909</v>
      </c>
      <c r="B173" s="36">
        <v>422</v>
      </c>
      <c r="C173" s="37" t="str">
        <f>IF(ISNA(VLOOKUP(Tableau13[[#This Row],[Code]],'Code Véhicule'!$A$4:$C$185,2,0)),"",VLOOKUP(Tableau13[[#This Row],[Code]],'Code Véhicule'!$A$4:$C$185,2,0))</f>
        <v>Chariot elevateur</v>
      </c>
      <c r="D173" s="38" t="str">
        <f>IF(ISNA(VLOOKUP(Tableau13[[#This Row],[Code]],'Code Véhicule'!$A$4:$C$185,3,0)),"",VLOOKUP(Tableau13[[#This Row],[Code]],'Code Véhicule'!$A$4:$C$185,3,0))</f>
        <v>Fenwick LINDE 25</v>
      </c>
      <c r="E173" s="36" t="str">
        <f>IF(ISNA(VLOOKUP(Tableau13[[#This Row],[Code]],'Code Véhicule'!$A$4:$D$185,4,0))," ",VLOOKUP(Tableau13[[#This Row],[Code]],'Code Véhicule'!$A$4:$D$185,4,0))</f>
        <v>-</v>
      </c>
      <c r="F173" s="36">
        <v>22421</v>
      </c>
      <c r="G173" s="38" t="s">
        <v>493</v>
      </c>
      <c r="H173" s="38"/>
      <c r="I173" s="36" t="s">
        <v>304</v>
      </c>
      <c r="J173" s="36" t="s">
        <v>519</v>
      </c>
      <c r="K173" s="36">
        <v>145230</v>
      </c>
      <c r="L173" s="40">
        <v>240</v>
      </c>
      <c r="M173" s="36">
        <v>240</v>
      </c>
      <c r="N173" s="41">
        <v>43909</v>
      </c>
      <c r="O173" s="38"/>
      <c r="P173" s="38"/>
      <c r="Q173" s="176" t="e">
        <f>MONTH([1]!Tableau13[[#This Row],[Date début]])</f>
        <v>#REF!</v>
      </c>
      <c r="R173" s="180" t="e">
        <f>YEAR([1]!Tableau13[[#This Row],[Date début]])</f>
        <v>#REF!</v>
      </c>
    </row>
    <row r="174" spans="1:18" ht="45" customHeight="1">
      <c r="A174" s="35">
        <v>43909</v>
      </c>
      <c r="B174" s="36">
        <v>428</v>
      </c>
      <c r="C174" s="37" t="str">
        <f>IF(ISNA(VLOOKUP(Tableau13[[#This Row],[Code]],'Code Véhicule'!$A$4:$C$185,2,0)),"",VLOOKUP(Tableau13[[#This Row],[Code]],'Code Véhicule'!$A$4:$C$185,2,0))</f>
        <v>Chariot elevateur</v>
      </c>
      <c r="D174" s="38" t="str">
        <f>IF(ISNA(VLOOKUP(Tableau13[[#This Row],[Code]],'Code Véhicule'!$A$4:$C$185,3,0)),"",VLOOKUP(Tableau13[[#This Row],[Code]],'Code Véhicule'!$A$4:$C$185,3,0))</f>
        <v>Linde H30</v>
      </c>
      <c r="E174" s="36" t="str">
        <f>IF(ISNA(VLOOKUP(Tableau13[[#This Row],[Code]],'Code Véhicule'!$A$4:$D$185,4,0))," ",VLOOKUP(Tableau13[[#This Row],[Code]],'Code Véhicule'!$A$4:$D$185,4,0))</f>
        <v>-</v>
      </c>
      <c r="F174" s="36">
        <v>22422</v>
      </c>
      <c r="G174" s="38" t="s">
        <v>393</v>
      </c>
      <c r="H174" s="38"/>
      <c r="I174" s="36" t="s">
        <v>304</v>
      </c>
      <c r="J174" s="36" t="s">
        <v>520</v>
      </c>
      <c r="K174" s="36">
        <v>145231</v>
      </c>
      <c r="L174" s="40">
        <v>180</v>
      </c>
      <c r="M174" s="36">
        <v>180</v>
      </c>
      <c r="N174" s="41">
        <v>43909</v>
      </c>
      <c r="O174" s="38"/>
      <c r="P174" s="38"/>
      <c r="Q174" s="176" t="e">
        <f>MONTH([1]!Tableau13[[#This Row],[Date début]])</f>
        <v>#REF!</v>
      </c>
      <c r="R174" s="180" t="e">
        <f>YEAR([1]!Tableau13[[#This Row],[Date début]])</f>
        <v>#REF!</v>
      </c>
    </row>
    <row r="175" spans="1:18" ht="15.75" customHeight="1">
      <c r="A175" s="35">
        <v>43911</v>
      </c>
      <c r="B175" s="36">
        <v>413</v>
      </c>
      <c r="C175" s="37" t="str">
        <f>IF(ISNA(VLOOKUP(Tableau13[[#This Row],[Code]],'Code Véhicule'!$A$4:$C$185,2,0)),"",VLOOKUP(Tableau13[[#This Row],[Code]],'Code Véhicule'!$A$4:$C$185,2,0))</f>
        <v>Chargeur</v>
      </c>
      <c r="D175" s="38" t="str">
        <f>IF(ISNA(VLOOKUP(Tableau13[[#This Row],[Code]],'Code Véhicule'!$A$4:$C$185,3,0)),"",VLOOKUP(Tableau13[[#This Row],[Code]],'Code Véhicule'!$A$4:$C$185,3,0))</f>
        <v>Caterpillar</v>
      </c>
      <c r="E175" s="36" t="str">
        <f>IF(ISNA(VLOOKUP(Tableau13[[#This Row],[Code]],'Code Véhicule'!$A$4:$D$185,4,0))," ",VLOOKUP(Tableau13[[#This Row],[Code]],'Code Véhicule'!$A$4:$D$185,4,0))</f>
        <v>-</v>
      </c>
      <c r="F175" s="36">
        <v>22423</v>
      </c>
      <c r="G175" s="38" t="s">
        <v>393</v>
      </c>
      <c r="H175" s="38"/>
      <c r="I175" s="36" t="s">
        <v>302</v>
      </c>
      <c r="J175" s="36" t="s">
        <v>521</v>
      </c>
      <c r="K175" s="36">
        <v>145232</v>
      </c>
      <c r="L175" s="40">
        <v>30</v>
      </c>
      <c r="M175" s="36">
        <v>30</v>
      </c>
      <c r="N175" s="41">
        <v>43911</v>
      </c>
      <c r="O175" s="38"/>
      <c r="P175" s="38"/>
      <c r="Q175" s="176" t="e">
        <f>MONTH([1]!Tableau13[[#This Row],[Date début]])</f>
        <v>#REF!</v>
      </c>
      <c r="R175" s="180" t="e">
        <f>YEAR([1]!Tableau13[[#This Row],[Date début]])</f>
        <v>#REF!</v>
      </c>
    </row>
    <row r="176" spans="1:18" ht="15.75" customHeight="1">
      <c r="A176" s="35">
        <v>43913</v>
      </c>
      <c r="B176" s="36">
        <v>431</v>
      </c>
      <c r="C176" s="37" t="str">
        <f>IF(ISNA(VLOOKUP(Tableau13[[#This Row],[Code]],'Code Véhicule'!$A$4:$C$185,2,0)),"",VLOOKUP(Tableau13[[#This Row],[Code]],'Code Véhicule'!$A$4:$C$185,2,0))</f>
        <v>Chariot elevateur</v>
      </c>
      <c r="D176" s="38" t="str">
        <f>IF(ISNA(VLOOKUP(Tableau13[[#This Row],[Code]],'Code Véhicule'!$A$4:$C$185,3,0)),"",VLOOKUP(Tableau13[[#This Row],[Code]],'Code Véhicule'!$A$4:$C$185,3,0))</f>
        <v>Manitou M26-2</v>
      </c>
      <c r="E176" s="36" t="str">
        <f>IF(ISNA(VLOOKUP(Tableau13[[#This Row],[Code]],'Code Véhicule'!$A$4:$D$185,4,0))," ",VLOOKUP(Tableau13[[#This Row],[Code]],'Code Véhicule'!$A$4:$D$185,4,0))</f>
        <v>-</v>
      </c>
      <c r="F176" s="36">
        <v>22424</v>
      </c>
      <c r="G176" s="38" t="s">
        <v>327</v>
      </c>
      <c r="H176" s="38"/>
      <c r="I176" s="36" t="s">
        <v>304</v>
      </c>
      <c r="J176" s="36" t="s">
        <v>522</v>
      </c>
      <c r="K176" s="36">
        <v>145233</v>
      </c>
      <c r="L176" s="40">
        <v>180</v>
      </c>
      <c r="M176" s="36">
        <v>180</v>
      </c>
      <c r="N176" s="41">
        <v>43913</v>
      </c>
      <c r="O176" s="38"/>
      <c r="P176" s="38"/>
      <c r="Q176" s="176" t="e">
        <f>MONTH([1]!Tableau13[[#This Row],[Date début]])</f>
        <v>#REF!</v>
      </c>
      <c r="R176" s="180" t="e">
        <f>YEAR([1]!Tableau13[[#This Row],[Date début]])</f>
        <v>#REF!</v>
      </c>
    </row>
    <row r="177" spans="1:18" ht="15.75" customHeight="1">
      <c r="A177" s="35">
        <v>43914</v>
      </c>
      <c r="B177" s="36">
        <v>421</v>
      </c>
      <c r="C177" s="37" t="str">
        <f>IF(ISNA(VLOOKUP(Tableau13[[#This Row],[Code]],'Code Véhicule'!$A$4:$C$185,2,0)),"",VLOOKUP(Tableau13[[#This Row],[Code]],'Code Véhicule'!$A$4:$C$185,2,0))</f>
        <v>Chariot elevateur</v>
      </c>
      <c r="D177" s="38" t="str">
        <f>IF(ISNA(VLOOKUP(Tableau13[[#This Row],[Code]],'Code Véhicule'!$A$4:$C$185,3,0)),"",VLOOKUP(Tableau13[[#This Row],[Code]],'Code Véhicule'!$A$4:$C$185,3,0))</f>
        <v>Linde H30</v>
      </c>
      <c r="E177" s="36" t="str">
        <f>IF(ISNA(VLOOKUP(Tableau13[[#This Row],[Code]],'Code Véhicule'!$A$4:$D$185,4,0))," ",VLOOKUP(Tableau13[[#This Row],[Code]],'Code Véhicule'!$A$4:$D$185,4,0))</f>
        <v>-</v>
      </c>
      <c r="F177" s="36">
        <v>22971</v>
      </c>
      <c r="G177" s="38" t="s">
        <v>393</v>
      </c>
      <c r="H177" s="38"/>
      <c r="I177" s="36" t="s">
        <v>302</v>
      </c>
      <c r="J177" s="36" t="s">
        <v>527</v>
      </c>
      <c r="K177" s="36">
        <v>145352</v>
      </c>
      <c r="L177" s="40">
        <v>60</v>
      </c>
      <c r="M177" s="36">
        <v>60</v>
      </c>
      <c r="N177" s="41">
        <v>43914</v>
      </c>
      <c r="O177" s="38"/>
      <c r="P177" s="38"/>
      <c r="Q177" s="176" t="e">
        <f>MONTH([1]!Tableau13[[#This Row],[Date début]])</f>
        <v>#REF!</v>
      </c>
      <c r="R177" s="180" t="e">
        <f>YEAR([1]!Tableau13[[#This Row],[Date début]])</f>
        <v>#REF!</v>
      </c>
    </row>
    <row r="178" spans="1:18" ht="15.75" customHeight="1">
      <c r="A178" s="35">
        <v>43914</v>
      </c>
      <c r="B178" s="36">
        <v>434</v>
      </c>
      <c r="C178" s="37" t="str">
        <f>IF(ISNA(VLOOKUP(Tableau13[[#This Row],[Code]],'Code Véhicule'!$A$4:$C$185,2,0)),"",VLOOKUP(Tableau13[[#This Row],[Code]],'Code Véhicule'!$A$4:$C$185,2,0))</f>
        <v>Chariot elevateur</v>
      </c>
      <c r="D178" s="38" t="str">
        <f>IF(ISNA(VLOOKUP(Tableau13[[#This Row],[Code]],'Code Véhicule'!$A$4:$C$185,3,0)),"",VLOOKUP(Tableau13[[#This Row],[Code]],'Code Véhicule'!$A$4:$C$185,3,0))</f>
        <v>Linde H30D</v>
      </c>
      <c r="E178" s="36" t="str">
        <f>IF(ISNA(VLOOKUP(Tableau13[[#This Row],[Code]],'Code Véhicule'!$A$4:$D$185,4,0))," ",VLOOKUP(Tableau13[[#This Row],[Code]],'Code Véhicule'!$A$4:$D$185,4,0))</f>
        <v>-</v>
      </c>
      <c r="F178" s="36">
        <v>22972</v>
      </c>
      <c r="G178" s="38" t="s">
        <v>393</v>
      </c>
      <c r="H178" s="38"/>
      <c r="I178" s="36" t="s">
        <v>302</v>
      </c>
      <c r="J178" s="36" t="s">
        <v>528</v>
      </c>
      <c r="K178" s="36">
        <v>145353</v>
      </c>
      <c r="L178" s="40">
        <v>60</v>
      </c>
      <c r="M178" s="36">
        <v>60</v>
      </c>
      <c r="N178" s="41">
        <v>43914</v>
      </c>
      <c r="O178" s="38"/>
      <c r="P178" s="38"/>
      <c r="Q178" s="176" t="e">
        <f>MONTH([1]!Tableau13[[#This Row],[Date début]])</f>
        <v>#REF!</v>
      </c>
      <c r="R178" s="180" t="e">
        <f>YEAR([1]!Tableau13[[#This Row],[Date début]])</f>
        <v>#REF!</v>
      </c>
    </row>
    <row r="179" spans="1:18" ht="45" customHeight="1">
      <c r="A179" s="35">
        <v>43914</v>
      </c>
      <c r="B179" s="36">
        <v>401</v>
      </c>
      <c r="C179" s="37" t="str">
        <f>IF(ISNA(VLOOKUP(Tableau13[[#This Row],[Code]],'Code Véhicule'!$A$4:$C$185,2,0)),"",VLOOKUP(Tableau13[[#This Row],[Code]],'Code Véhicule'!$A$4:$C$185,2,0))</f>
        <v>Camion</v>
      </c>
      <c r="D179" s="38" t="str">
        <f>IF(ISNA(VLOOKUP(Tableau13[[#This Row],[Code]],'Code Véhicule'!$A$4:$C$185,3,0)),"",VLOOKUP(Tableau13[[#This Row],[Code]],'Code Véhicule'!$A$4:$C$185,3,0))</f>
        <v>ISUZU</v>
      </c>
      <c r="E179" s="36" t="str">
        <f>IF(ISNA(VLOOKUP(Tableau13[[#This Row],[Code]],'Code Véhicule'!$A$4:$D$185,4,0))," ",VLOOKUP(Tableau13[[#This Row],[Code]],'Code Véhicule'!$A$4:$D$185,4,0))</f>
        <v>26128-A-8</v>
      </c>
      <c r="F179" s="36">
        <v>22973</v>
      </c>
      <c r="G179" s="38" t="s">
        <v>393</v>
      </c>
      <c r="H179" s="38"/>
      <c r="I179" s="36" t="s">
        <v>302</v>
      </c>
      <c r="J179" s="36" t="s">
        <v>529</v>
      </c>
      <c r="K179" s="36">
        <v>145354</v>
      </c>
      <c r="L179" s="40">
        <v>180</v>
      </c>
      <c r="M179" s="36">
        <v>180</v>
      </c>
      <c r="N179" s="41">
        <v>43914</v>
      </c>
      <c r="O179" s="38"/>
      <c r="P179" s="38"/>
      <c r="Q179" s="176" t="e">
        <f>MONTH([1]!Tableau13[[#This Row],[Date début]])</f>
        <v>#REF!</v>
      </c>
      <c r="R179" s="180" t="e">
        <f>YEAR([1]!Tableau13[[#This Row],[Date début]])</f>
        <v>#REF!</v>
      </c>
    </row>
    <row r="180" spans="1:18" ht="15.75" customHeight="1">
      <c r="A180" s="35">
        <v>43931</v>
      </c>
      <c r="B180" s="36">
        <v>438</v>
      </c>
      <c r="C180" s="37" t="str">
        <f>IF(ISNA(VLOOKUP(Tableau13[[#This Row],[Code]],'Code Véhicule'!$A$4:$C$185,2,0)),"",VLOOKUP(Tableau13[[#This Row],[Code]],'Code Véhicule'!$A$4:$C$185,2,0))</f>
        <v>Semi remorque</v>
      </c>
      <c r="D180" s="38" t="str">
        <f>IF(ISNA(VLOOKUP(Tableau13[[#This Row],[Code]],'Code Véhicule'!$A$4:$C$185,3,0)),"",VLOOKUP(Tableau13[[#This Row],[Code]],'Code Véhicule'!$A$4:$C$185,3,0))</f>
        <v>VOLVO</v>
      </c>
      <c r="E180" s="36" t="str">
        <f>IF(ISNA(VLOOKUP(Tableau13[[#This Row],[Code]],'Code Véhicule'!$A$4:$D$185,4,0))," ",VLOOKUP(Tableau13[[#This Row],[Code]],'Code Véhicule'!$A$4:$D$185,4,0))</f>
        <v xml:space="preserve">17885-A-73 </v>
      </c>
      <c r="F180" s="36">
        <v>22974</v>
      </c>
      <c r="G180" s="38" t="s">
        <v>525</v>
      </c>
      <c r="H180" s="38"/>
      <c r="I180" s="36" t="s">
        <v>304</v>
      </c>
      <c r="J180" s="36" t="s">
        <v>530</v>
      </c>
      <c r="K180" s="36">
        <v>147701</v>
      </c>
      <c r="L180" s="40">
        <v>180</v>
      </c>
      <c r="M180" s="36">
        <v>180</v>
      </c>
      <c r="N180" s="41">
        <v>43931</v>
      </c>
      <c r="O180" s="38"/>
      <c r="P180" s="38"/>
      <c r="Q180" s="176" t="e">
        <f>MONTH([1]!Tableau13[[#This Row],[Date début]])</f>
        <v>#REF!</v>
      </c>
      <c r="R180" s="180" t="e">
        <f>YEAR([1]!Tableau13[[#This Row],[Date début]])</f>
        <v>#REF!</v>
      </c>
    </row>
    <row r="181" spans="1:18" ht="15.75" customHeight="1">
      <c r="A181" s="35">
        <v>43932</v>
      </c>
      <c r="B181" s="36">
        <v>410</v>
      </c>
      <c r="C181" s="37" t="str">
        <f>IF(ISNA(VLOOKUP(Tableau13[[#This Row],[Code]],'Code Véhicule'!$A$4:$C$185,2,0)),"",VLOOKUP(Tableau13[[#This Row],[Code]],'Code Véhicule'!$A$4:$C$185,2,0))</f>
        <v>Semi remorque</v>
      </c>
      <c r="D181" s="38" t="str">
        <f>IF(ISNA(VLOOKUP(Tableau13[[#This Row],[Code]],'Code Véhicule'!$A$4:$C$185,3,0)),"",VLOOKUP(Tableau13[[#This Row],[Code]],'Code Véhicule'!$A$4:$C$185,3,0))</f>
        <v>MAN</v>
      </c>
      <c r="E181" s="36" t="str">
        <f>IF(ISNA(VLOOKUP(Tableau13[[#This Row],[Code]],'Code Véhicule'!$A$4:$D$185,4,0))," ",VLOOKUP(Tableau13[[#This Row],[Code]],'Code Véhicule'!$A$4:$D$185,4,0))</f>
        <v xml:space="preserve">28659-D-1 </v>
      </c>
      <c r="F181" s="36">
        <v>22975</v>
      </c>
      <c r="G181" s="38" t="s">
        <v>353</v>
      </c>
      <c r="H181" s="38"/>
      <c r="I181" s="36" t="s">
        <v>304</v>
      </c>
      <c r="J181" s="36" t="s">
        <v>531</v>
      </c>
      <c r="K181" s="36">
        <v>147702</v>
      </c>
      <c r="L181" s="40">
        <v>240</v>
      </c>
      <c r="M181" s="36">
        <v>240</v>
      </c>
      <c r="N181" s="41">
        <v>43931</v>
      </c>
      <c r="O181" s="38"/>
      <c r="P181" s="38"/>
      <c r="Q181" s="176" t="e">
        <f>MONTH([1]!Tableau13[[#This Row],[Date début]])</f>
        <v>#REF!</v>
      </c>
      <c r="R181" s="180" t="e">
        <f>YEAR([1]!Tableau13[[#This Row],[Date début]])</f>
        <v>#REF!</v>
      </c>
    </row>
    <row r="182" spans="1:18" ht="15.75" customHeight="1">
      <c r="A182" s="41">
        <v>43934</v>
      </c>
      <c r="B182" s="36">
        <v>481</v>
      </c>
      <c r="C182" s="37" t="str">
        <f>IF(ISNA(VLOOKUP(Tableau13[[#This Row],[Code]],'Code Véhicule'!$A$4:$C$185,2,0)),"",VLOOKUP(Tableau13[[#This Row],[Code]],'Code Véhicule'!$A$4:$C$185,2,0))</f>
        <v>Camion</v>
      </c>
      <c r="D182" s="38" t="str">
        <f>IF(ISNA(VLOOKUP(Tableau13[[#This Row],[Code]],'Code Véhicule'!$A$4:$C$185,3,0)),"",VLOOKUP(Tableau13[[#This Row],[Code]],'Code Véhicule'!$A$4:$C$185,3,0))</f>
        <v>VOLVO</v>
      </c>
      <c r="E182" s="36" t="str">
        <f>IF(ISNA(VLOOKUP(Tableau13[[#This Row],[Code]],'Code Véhicule'!$A$4:$D$185,4,0))," ",VLOOKUP(Tableau13[[#This Row],[Code]],'Code Véhicule'!$A$4:$D$185,4,0))</f>
        <v>22300-A-73</v>
      </c>
      <c r="F182" s="36">
        <v>22976</v>
      </c>
      <c r="G182" s="38" t="s">
        <v>525</v>
      </c>
      <c r="H182" s="38"/>
      <c r="I182" s="36" t="s">
        <v>304</v>
      </c>
      <c r="J182" s="36" t="s">
        <v>532</v>
      </c>
      <c r="K182" s="36"/>
      <c r="L182" s="40"/>
      <c r="M182" s="36"/>
      <c r="N182" s="36"/>
      <c r="O182" s="38"/>
      <c r="P182" s="38"/>
      <c r="Q182" s="176" t="e">
        <f>MONTH([1]!Tableau13[[#This Row],[Date début]])</f>
        <v>#REF!</v>
      </c>
      <c r="R182" s="180" t="e">
        <f>YEAR([1]!Tableau13[[#This Row],[Date début]])</f>
        <v>#REF!</v>
      </c>
    </row>
    <row r="183" spans="1:18" ht="15.75" customHeight="1">
      <c r="A183" s="35">
        <v>43935</v>
      </c>
      <c r="B183" s="36">
        <v>403</v>
      </c>
      <c r="C183" s="37" t="str">
        <f>IF(ISNA(VLOOKUP(Tableau13[[#This Row],[Code]],'Code Véhicule'!$A$4:$C$185,2,0)),"",VLOOKUP(Tableau13[[#This Row],[Code]],'Code Véhicule'!$A$4:$C$185,2,0))</f>
        <v>Camion</v>
      </c>
      <c r="D183" s="38" t="str">
        <f>IF(ISNA(VLOOKUP(Tableau13[[#This Row],[Code]],'Code Véhicule'!$A$4:$C$185,3,0)),"",VLOOKUP(Tableau13[[#This Row],[Code]],'Code Véhicule'!$A$4:$C$185,3,0))</f>
        <v>MAN</v>
      </c>
      <c r="E183" s="36" t="str">
        <f>IF(ISNA(VLOOKUP(Tableau13[[#This Row],[Code]],'Code Véhicule'!$A$4:$D$185,4,0))," ",VLOOKUP(Tableau13[[#This Row],[Code]],'Code Véhicule'!$A$4:$D$185,4,0))</f>
        <v>4790-B-8</v>
      </c>
      <c r="F183" s="36">
        <v>22977</v>
      </c>
      <c r="G183" s="38" t="s">
        <v>533</v>
      </c>
      <c r="H183" s="38"/>
      <c r="I183" s="36" t="s">
        <v>304</v>
      </c>
      <c r="J183" s="36" t="s">
        <v>534</v>
      </c>
      <c r="K183" s="36">
        <v>147705</v>
      </c>
      <c r="L183" s="40">
        <v>240</v>
      </c>
      <c r="M183" s="36">
        <v>240</v>
      </c>
      <c r="N183" s="41">
        <v>43935</v>
      </c>
      <c r="O183" s="38"/>
      <c r="P183" s="38"/>
      <c r="Q183" s="176" t="e">
        <f>MONTH([1]!Tableau13[[#This Row],[Date début]])</f>
        <v>#REF!</v>
      </c>
      <c r="R183" s="180" t="e">
        <f>YEAR([1]!Tableau13[[#This Row],[Date début]])</f>
        <v>#REF!</v>
      </c>
    </row>
    <row r="184" spans="1:18" ht="15.75" customHeight="1">
      <c r="A184" s="35">
        <v>43935</v>
      </c>
      <c r="B184" s="36">
        <v>430</v>
      </c>
      <c r="C184" s="37" t="str">
        <f>IF(ISNA(VLOOKUP(Tableau13[[#This Row],[Code]],'Code Véhicule'!$A$4:$C$185,2,0)),"",VLOOKUP(Tableau13[[#This Row],[Code]],'Code Véhicule'!$A$4:$C$185,2,0))</f>
        <v>Chariot elevateur</v>
      </c>
      <c r="D184" s="38" t="str">
        <f>IF(ISNA(VLOOKUP(Tableau13[[#This Row],[Code]],'Code Véhicule'!$A$4:$C$185,3,0)),"",VLOOKUP(Tableau13[[#This Row],[Code]],'Code Véhicule'!$A$4:$C$185,3,0))</f>
        <v>Fenwick  H40</v>
      </c>
      <c r="E184" s="36" t="str">
        <f>IF(ISNA(VLOOKUP(Tableau13[[#This Row],[Code]],'Code Véhicule'!$A$4:$D$185,4,0))," ",VLOOKUP(Tableau13[[#This Row],[Code]],'Code Véhicule'!$A$4:$D$185,4,0))</f>
        <v>-</v>
      </c>
      <c r="F184" s="36">
        <v>22980</v>
      </c>
      <c r="G184" s="38" t="s">
        <v>539</v>
      </c>
      <c r="H184" s="38"/>
      <c r="I184" s="36" t="s">
        <v>304</v>
      </c>
      <c r="J184" s="36" t="s">
        <v>540</v>
      </c>
      <c r="K184" s="36"/>
      <c r="L184" s="40">
        <v>240</v>
      </c>
      <c r="M184" s="36">
        <v>240</v>
      </c>
      <c r="N184" s="41">
        <v>43937</v>
      </c>
      <c r="O184" s="38"/>
      <c r="P184" s="38"/>
      <c r="Q184" s="176" t="e">
        <f>MONTH([1]!Tableau13[[#This Row],[Date début]])</f>
        <v>#REF!</v>
      </c>
      <c r="R184" s="180" t="e">
        <f>YEAR([1]!Tableau13[[#This Row],[Date début]])</f>
        <v>#REF!</v>
      </c>
    </row>
    <row r="185" spans="1:18" ht="15.75" customHeight="1">
      <c r="A185" s="35">
        <v>43936</v>
      </c>
      <c r="B185" s="36">
        <v>434</v>
      </c>
      <c r="C185" s="37" t="str">
        <f>IF(ISNA(VLOOKUP(Tableau13[[#This Row],[Code]],'Code Véhicule'!$A$4:$C$185,2,0)),"",VLOOKUP(Tableau13[[#This Row],[Code]],'Code Véhicule'!$A$4:$C$185,2,0))</f>
        <v>Chariot elevateur</v>
      </c>
      <c r="D185" s="38" t="str">
        <f>IF(ISNA(VLOOKUP(Tableau13[[#This Row],[Code]],'Code Véhicule'!$A$4:$C$185,3,0)),"",VLOOKUP(Tableau13[[#This Row],[Code]],'Code Véhicule'!$A$4:$C$185,3,0))</f>
        <v>Linde H30D</v>
      </c>
      <c r="E185" s="36" t="str">
        <f>IF(ISNA(VLOOKUP(Tableau13[[#This Row],[Code]],'Code Véhicule'!$A$4:$D$185,4,0))," ",VLOOKUP(Tableau13[[#This Row],[Code]],'Code Véhicule'!$A$4:$D$185,4,0))</f>
        <v>-</v>
      </c>
      <c r="F185" s="36">
        <v>22978</v>
      </c>
      <c r="G185" s="38" t="s">
        <v>393</v>
      </c>
      <c r="H185" s="38"/>
      <c r="I185" s="36" t="s">
        <v>304</v>
      </c>
      <c r="J185" s="36" t="s">
        <v>535</v>
      </c>
      <c r="K185" s="36">
        <v>147706</v>
      </c>
      <c r="L185" s="40">
        <v>30</v>
      </c>
      <c r="M185" s="36">
        <v>30</v>
      </c>
      <c r="N185" s="41">
        <v>43936</v>
      </c>
      <c r="O185" s="38"/>
      <c r="P185" s="38"/>
      <c r="Q185" s="176" t="e">
        <f>MONTH([1]!Tableau13[[#This Row],[Date début]])</f>
        <v>#REF!</v>
      </c>
      <c r="R185" s="180" t="e">
        <f>YEAR([1]!Tableau13[[#This Row],[Date début]])</f>
        <v>#REF!</v>
      </c>
    </row>
    <row r="186" spans="1:18" ht="15.75" customHeight="1">
      <c r="A186" s="35">
        <v>43936</v>
      </c>
      <c r="B186" s="36"/>
      <c r="C186" s="37" t="s">
        <v>536</v>
      </c>
      <c r="D186" s="38" t="str">
        <f>IF(ISNA(VLOOKUP(Tableau13[[#This Row],[Code]],'Code Véhicule'!$A$4:$C$185,3,0)),"",VLOOKUP(Tableau13[[#This Row],[Code]],'Code Véhicule'!$A$4:$C$185,3,0))</f>
        <v/>
      </c>
      <c r="E186" s="36" t="str">
        <f>IF(ISNA(VLOOKUP(Tableau13[[#This Row],[Code]],'Code Véhicule'!$A$4:$D$185,4,0))," ",VLOOKUP(Tableau13[[#This Row],[Code]],'Code Véhicule'!$A$4:$D$185,4,0))</f>
        <v xml:space="preserve"> </v>
      </c>
      <c r="F186" s="36">
        <v>22979</v>
      </c>
      <c r="G186" s="38" t="s">
        <v>537</v>
      </c>
      <c r="H186" s="38"/>
      <c r="I186" s="36" t="s">
        <v>304</v>
      </c>
      <c r="J186" s="36" t="s">
        <v>538</v>
      </c>
      <c r="K186" s="36">
        <v>147707</v>
      </c>
      <c r="L186" s="40">
        <v>240</v>
      </c>
      <c r="M186" s="36">
        <v>240</v>
      </c>
      <c r="N186" s="41">
        <v>43936</v>
      </c>
      <c r="O186" s="38"/>
      <c r="P186" s="38"/>
      <c r="Q186" s="176" t="e">
        <f>MONTH([1]!Tableau13[[#This Row],[Date début]])</f>
        <v>#REF!</v>
      </c>
      <c r="R186" s="180" t="e">
        <f>YEAR([1]!Tableau13[[#This Row],[Date début]])</f>
        <v>#REF!</v>
      </c>
    </row>
    <row r="187" spans="1:18" ht="15.75" customHeight="1">
      <c r="A187" s="35">
        <v>43938</v>
      </c>
      <c r="B187" s="36">
        <v>434</v>
      </c>
      <c r="C187" s="37" t="str">
        <f>IF(ISNA(VLOOKUP(Tableau13[[#This Row],[Code]],'Code Véhicule'!$A$4:$C$185,2,0)),"",VLOOKUP(Tableau13[[#This Row],[Code]],'Code Véhicule'!$A$4:$C$185,2,0))</f>
        <v>Chariot elevateur</v>
      </c>
      <c r="D187" s="38" t="str">
        <f>IF(ISNA(VLOOKUP(Tableau13[[#This Row],[Code]],'Code Véhicule'!$A$4:$C$185,3,0)),"",VLOOKUP(Tableau13[[#This Row],[Code]],'Code Véhicule'!$A$4:$C$185,3,0))</f>
        <v>Linde H30D</v>
      </c>
      <c r="E187" s="36" t="str">
        <f>IF(ISNA(VLOOKUP(Tableau13[[#This Row],[Code]],'Code Véhicule'!$A$4:$D$185,4,0))," ",VLOOKUP(Tableau13[[#This Row],[Code]],'Code Véhicule'!$A$4:$D$185,4,0))</f>
        <v>-</v>
      </c>
      <c r="F187" s="36">
        <v>22981</v>
      </c>
      <c r="G187" s="38" t="s">
        <v>493</v>
      </c>
      <c r="H187" s="38"/>
      <c r="I187" s="36" t="s">
        <v>304</v>
      </c>
      <c r="J187" s="36" t="s">
        <v>541</v>
      </c>
      <c r="K187" s="36">
        <v>147709</v>
      </c>
      <c r="L187" s="40">
        <v>120</v>
      </c>
      <c r="M187" s="36">
        <v>120</v>
      </c>
      <c r="N187" s="41">
        <v>43938</v>
      </c>
      <c r="O187" s="38"/>
      <c r="P187" s="38"/>
      <c r="Q187" s="176" t="e">
        <f>MONTH([1]!Tableau13[[#This Row],[Date début]])</f>
        <v>#REF!</v>
      </c>
      <c r="R187" s="180" t="e">
        <f>YEAR([1]!Tableau13[[#This Row],[Date début]])</f>
        <v>#REF!</v>
      </c>
    </row>
    <row r="188" spans="1:18" ht="15.75" customHeight="1">
      <c r="A188" s="35">
        <v>43938</v>
      </c>
      <c r="B188" s="36">
        <v>410</v>
      </c>
      <c r="C188" s="37" t="str">
        <f>IF(ISNA(VLOOKUP(Tableau13[[#This Row],[Code]],'Code Véhicule'!$A$4:$C$185,2,0)),"",VLOOKUP(Tableau13[[#This Row],[Code]],'Code Véhicule'!$A$4:$C$185,2,0))</f>
        <v>Semi remorque</v>
      </c>
      <c r="D188" s="38" t="str">
        <f>IF(ISNA(VLOOKUP(Tableau13[[#This Row],[Code]],'Code Véhicule'!$A$4:$C$185,3,0)),"",VLOOKUP(Tableau13[[#This Row],[Code]],'Code Véhicule'!$A$4:$C$185,3,0))</f>
        <v>MAN</v>
      </c>
      <c r="E188" s="36" t="str">
        <f>IF(ISNA(VLOOKUP(Tableau13[[#This Row],[Code]],'Code Véhicule'!$A$4:$D$185,4,0))," ",VLOOKUP(Tableau13[[#This Row],[Code]],'Code Véhicule'!$A$4:$D$185,4,0))</f>
        <v xml:space="preserve">28659-D-1 </v>
      </c>
      <c r="F188" s="36">
        <v>22982</v>
      </c>
      <c r="G188" s="38" t="s">
        <v>525</v>
      </c>
      <c r="H188" s="38"/>
      <c r="I188" s="36" t="s">
        <v>304</v>
      </c>
      <c r="J188" s="36" t="s">
        <v>372</v>
      </c>
      <c r="K188" s="36">
        <v>147710</v>
      </c>
      <c r="L188" s="40">
        <v>180</v>
      </c>
      <c r="M188" s="36">
        <v>180</v>
      </c>
      <c r="N188" s="41">
        <v>43938</v>
      </c>
      <c r="O188" s="38"/>
      <c r="P188" s="38"/>
      <c r="Q188" s="176" t="e">
        <f>MONTH([1]!Tableau13[[#This Row],[Date début]])</f>
        <v>#REF!</v>
      </c>
      <c r="R188" s="180" t="e">
        <f>YEAR([1]!Tableau13[[#This Row],[Date début]])</f>
        <v>#REF!</v>
      </c>
    </row>
    <row r="189" spans="1:18" ht="30" customHeight="1">
      <c r="A189" s="35">
        <v>43941</v>
      </c>
      <c r="B189" s="36">
        <v>429</v>
      </c>
      <c r="C189" s="37" t="str">
        <f>IF(ISNA(VLOOKUP(Tableau13[[#This Row],[Code]],'Code Véhicule'!$A$4:$C$185,2,0)),"",VLOOKUP(Tableau13[[#This Row],[Code]],'Code Véhicule'!$A$4:$C$185,2,0))</f>
        <v>Chariot elevateur</v>
      </c>
      <c r="D189" s="38" t="str">
        <f>IF(ISNA(VLOOKUP(Tableau13[[#This Row],[Code]],'Code Véhicule'!$A$4:$C$185,3,0)),"",VLOOKUP(Tableau13[[#This Row],[Code]],'Code Véhicule'!$A$4:$C$185,3,0))</f>
        <v>Fenwick HD30</v>
      </c>
      <c r="E189" s="36" t="str">
        <f>IF(ISNA(VLOOKUP(Tableau13[[#This Row],[Code]],'Code Véhicule'!$A$4:$D$185,4,0))," ",VLOOKUP(Tableau13[[#This Row],[Code]],'Code Véhicule'!$A$4:$D$185,4,0))</f>
        <v>-</v>
      </c>
      <c r="F189" s="36">
        <v>22982</v>
      </c>
      <c r="G189" s="38" t="s">
        <v>542</v>
      </c>
      <c r="H189" s="38"/>
      <c r="I189" s="36"/>
      <c r="J189" s="36" t="s">
        <v>599</v>
      </c>
      <c r="K189" s="36">
        <v>147712</v>
      </c>
      <c r="L189" s="40">
        <v>360</v>
      </c>
      <c r="M189" s="36">
        <v>360</v>
      </c>
      <c r="N189" s="41">
        <v>43941</v>
      </c>
      <c r="O189" s="38"/>
      <c r="P189" s="38"/>
      <c r="Q189" s="176" t="e">
        <f>MONTH([1]!Tableau13[[#This Row],[Date début]])</f>
        <v>#REF!</v>
      </c>
      <c r="R189" s="180" t="e">
        <f>YEAR([1]!Tableau13[[#This Row],[Date début]])</f>
        <v>#REF!</v>
      </c>
    </row>
    <row r="190" spans="1:18" ht="30" customHeight="1">
      <c r="A190" s="35">
        <v>43943</v>
      </c>
      <c r="B190" s="36">
        <v>435</v>
      </c>
      <c r="C190" s="37" t="str">
        <f>IF(ISNA(VLOOKUP(Tableau13[[#This Row],[Code]],'Code Véhicule'!$A$4:$C$185,2,0)),"",VLOOKUP(Tableau13[[#This Row],[Code]],'Code Véhicule'!$A$4:$C$185,2,0))</f>
        <v>Camion</v>
      </c>
      <c r="D190" s="38" t="str">
        <f>IF(ISNA(VLOOKUP(Tableau13[[#This Row],[Code]],'Code Véhicule'!$A$4:$C$185,3,0)),"",VLOOKUP(Tableau13[[#This Row],[Code]],'Code Véhicule'!$A$4:$C$185,3,0))</f>
        <v>Mitsubishi</v>
      </c>
      <c r="E190" s="36" t="str">
        <f>IF(ISNA(VLOOKUP(Tableau13[[#This Row],[Code]],'Code Véhicule'!$A$4:$D$185,4,0))," ",VLOOKUP(Tableau13[[#This Row],[Code]],'Code Véhicule'!$A$4:$D$185,4,0))</f>
        <v xml:space="preserve"> 11469-A-73</v>
      </c>
      <c r="F190" s="36">
        <v>22983</v>
      </c>
      <c r="G190" s="38" t="s">
        <v>393</v>
      </c>
      <c r="H190" s="38"/>
      <c r="I190" s="36" t="s">
        <v>302</v>
      </c>
      <c r="J190" s="36" t="s">
        <v>544</v>
      </c>
      <c r="K190" s="36">
        <v>147717</v>
      </c>
      <c r="L190" s="40">
        <v>30</v>
      </c>
      <c r="M190" s="36">
        <v>30</v>
      </c>
      <c r="N190" s="41">
        <v>43943</v>
      </c>
      <c r="O190" s="38"/>
      <c r="P190" s="38"/>
      <c r="Q190" s="176" t="e">
        <f>MONTH([1]!Tableau13[[#This Row],[Date début]])</f>
        <v>#REF!</v>
      </c>
      <c r="R190" s="180" t="e">
        <f>YEAR([1]!Tableau13[[#This Row],[Date début]])</f>
        <v>#REF!</v>
      </c>
    </row>
    <row r="191" spans="1:18" ht="15.75" customHeight="1">
      <c r="A191" s="46">
        <v>43945</v>
      </c>
      <c r="B191" s="47">
        <v>480</v>
      </c>
      <c r="C191" s="37" t="str">
        <f>IF(ISNA(VLOOKUP(Tableau13[[#This Row],[Code]],'Code Véhicule'!$A$4:$C$185,2,0)),"",VLOOKUP(Tableau13[[#This Row],[Code]],'Code Véhicule'!$A$4:$C$185,2,0))</f>
        <v>Camion</v>
      </c>
      <c r="D191" s="38" t="str">
        <f>IF(ISNA(VLOOKUP(Tableau13[[#This Row],[Code]],'Code Véhicule'!$A$4:$C$185,3,0)),"",VLOOKUP(Tableau13[[#This Row],[Code]],'Code Véhicule'!$A$4:$C$185,3,0))</f>
        <v>VOLVO</v>
      </c>
      <c r="E191" s="36" t="str">
        <f>IF(ISNA(VLOOKUP(Tableau13[[#This Row],[Code]],'Code Véhicule'!$A$4:$D$185,4,0))," ",VLOOKUP(Tableau13[[#This Row],[Code]],'Code Véhicule'!$A$4:$D$185,4,0))</f>
        <v>22299-A-73</v>
      </c>
      <c r="F191" s="47">
        <v>22984</v>
      </c>
      <c r="G191" s="48" t="s">
        <v>545</v>
      </c>
      <c r="H191" s="48"/>
      <c r="I191" s="49" t="s">
        <v>304</v>
      </c>
      <c r="J191" s="36" t="s">
        <v>546</v>
      </c>
      <c r="K191" s="36">
        <v>147718</v>
      </c>
      <c r="L191" s="40">
        <v>420</v>
      </c>
      <c r="M191" s="36">
        <v>420</v>
      </c>
      <c r="N191" s="41">
        <v>43945</v>
      </c>
      <c r="O191" s="38"/>
      <c r="P191" s="38"/>
      <c r="Q191" s="176" t="e">
        <f>MONTH([1]!Tableau13[[#This Row],[Date début]])</f>
        <v>#REF!</v>
      </c>
      <c r="R191" s="180" t="e">
        <f>YEAR([1]!Tableau13[[#This Row],[Date début]])</f>
        <v>#REF!</v>
      </c>
    </row>
    <row r="192" spans="1:18" ht="15.75" customHeight="1">
      <c r="A192" s="35">
        <v>43945</v>
      </c>
      <c r="B192" s="36">
        <v>438</v>
      </c>
      <c r="C192" s="37" t="str">
        <f>IF(ISNA(VLOOKUP(Tableau13[[#This Row],[Code]],'Code Véhicule'!$A$4:$C$185,2,0)),"",VLOOKUP(Tableau13[[#This Row],[Code]],'Code Véhicule'!$A$4:$C$185,2,0))</f>
        <v>Semi remorque</v>
      </c>
      <c r="D192" s="38" t="str">
        <f>IF(ISNA(VLOOKUP(Tableau13[[#This Row],[Code]],'Code Véhicule'!$A$4:$C$185,3,0)),"",VLOOKUP(Tableau13[[#This Row],[Code]],'Code Véhicule'!$A$4:$C$185,3,0))</f>
        <v>VOLVO</v>
      </c>
      <c r="E192" s="36" t="str">
        <f>IF(ISNA(VLOOKUP(Tableau13[[#This Row],[Code]],'Code Véhicule'!$A$4:$D$185,4,0))," ",VLOOKUP(Tableau13[[#This Row],[Code]],'Code Véhicule'!$A$4:$D$185,4,0))</f>
        <v xml:space="preserve">17885-A-73 </v>
      </c>
      <c r="F192" s="36">
        <v>22985</v>
      </c>
      <c r="G192" s="38" t="s">
        <v>525</v>
      </c>
      <c r="H192" s="38"/>
      <c r="I192" s="36" t="s">
        <v>304</v>
      </c>
      <c r="J192" s="36" t="s">
        <v>547</v>
      </c>
      <c r="K192" s="36">
        <v>147719</v>
      </c>
      <c r="L192" s="40">
        <v>120</v>
      </c>
      <c r="M192" s="36">
        <v>120</v>
      </c>
      <c r="N192" s="41">
        <v>43945</v>
      </c>
      <c r="O192" s="38"/>
      <c r="P192" s="38"/>
      <c r="Q192" s="176" t="e">
        <f>MONTH([1]!Tableau13[[#This Row],[Date début]])</f>
        <v>#REF!</v>
      </c>
      <c r="R192" s="180" t="e">
        <f>YEAR([1]!Tableau13[[#This Row],[Date début]])</f>
        <v>#REF!</v>
      </c>
    </row>
    <row r="193" spans="1:18" ht="30" customHeight="1">
      <c r="A193" s="35">
        <v>43946</v>
      </c>
      <c r="B193" s="36">
        <v>435</v>
      </c>
      <c r="C193" s="37" t="str">
        <f>IF(ISNA(VLOOKUP(Tableau13[[#This Row],[Code]],'Code Véhicule'!$A$4:$C$185,2,0)),"",VLOOKUP(Tableau13[[#This Row],[Code]],'Code Véhicule'!$A$4:$C$185,2,0))</f>
        <v>Camion</v>
      </c>
      <c r="D193" s="38" t="str">
        <f>IF(ISNA(VLOOKUP(Tableau13[[#This Row],[Code]],'Code Véhicule'!$A$4:$C$185,3,0)),"",VLOOKUP(Tableau13[[#This Row],[Code]],'Code Véhicule'!$A$4:$C$185,3,0))</f>
        <v>Mitsubishi</v>
      </c>
      <c r="E193" s="36" t="str">
        <f>IF(ISNA(VLOOKUP(Tableau13[[#This Row],[Code]],'Code Véhicule'!$A$4:$D$185,4,0))," ",VLOOKUP(Tableau13[[#This Row],[Code]],'Code Véhicule'!$A$4:$D$185,4,0))</f>
        <v xml:space="preserve"> 11469-A-73</v>
      </c>
      <c r="F193" s="36">
        <v>22986</v>
      </c>
      <c r="G193" s="38" t="s">
        <v>398</v>
      </c>
      <c r="H193" s="38"/>
      <c r="I193" s="36" t="s">
        <v>304</v>
      </c>
      <c r="J193" s="36" t="s">
        <v>548</v>
      </c>
      <c r="K193" s="36">
        <v>147720</v>
      </c>
      <c r="L193" s="40">
        <v>300</v>
      </c>
      <c r="M193" s="36">
        <v>300</v>
      </c>
      <c r="N193" s="41">
        <v>43946</v>
      </c>
      <c r="O193" s="38"/>
      <c r="P193" s="38"/>
      <c r="Q193" s="176" t="e">
        <f>MONTH([1]!Tableau13[[#This Row],[Date début]])</f>
        <v>#REF!</v>
      </c>
      <c r="R193" s="180" t="e">
        <f>YEAR([1]!Tableau13[[#This Row],[Date début]])</f>
        <v>#REF!</v>
      </c>
    </row>
    <row r="194" spans="1:18" ht="15.75" customHeight="1">
      <c r="A194" s="46">
        <v>43946</v>
      </c>
      <c r="B194" s="47">
        <v>410</v>
      </c>
      <c r="C194" s="37" t="str">
        <f>IF(ISNA(VLOOKUP(Tableau13[[#This Row],[Code]],'Code Véhicule'!$A$4:$C$185,2,0)),"",VLOOKUP(Tableau13[[#This Row],[Code]],'Code Véhicule'!$A$4:$C$185,2,0))</f>
        <v>Semi remorque</v>
      </c>
      <c r="D194" s="38" t="str">
        <f>IF(ISNA(VLOOKUP(Tableau13[[#This Row],[Code]],'Code Véhicule'!$A$4:$C$185,3,0)),"",VLOOKUP(Tableau13[[#This Row],[Code]],'Code Véhicule'!$A$4:$C$185,3,0))</f>
        <v>MAN</v>
      </c>
      <c r="E194" s="36" t="str">
        <f>IF(ISNA(VLOOKUP(Tableau13[[#This Row],[Code]],'Code Véhicule'!$A$4:$D$185,4,0))," ",VLOOKUP(Tableau13[[#This Row],[Code]],'Code Véhicule'!$A$4:$D$185,4,0))</f>
        <v xml:space="preserve">28659-D-1 </v>
      </c>
      <c r="F194" s="47">
        <v>22987</v>
      </c>
      <c r="G194" s="48" t="s">
        <v>525</v>
      </c>
      <c r="H194" s="48"/>
      <c r="I194" s="49" t="s">
        <v>304</v>
      </c>
      <c r="J194" s="36" t="s">
        <v>549</v>
      </c>
      <c r="K194" s="36">
        <v>147722</v>
      </c>
      <c r="L194" s="40">
        <v>180</v>
      </c>
      <c r="M194" s="36">
        <v>180</v>
      </c>
      <c r="N194" s="41">
        <v>43946</v>
      </c>
      <c r="O194" s="38"/>
      <c r="P194" s="38"/>
      <c r="Q194" s="176" t="e">
        <f>MONTH([1]!Tableau13[[#This Row],[Date début]])</f>
        <v>#REF!</v>
      </c>
      <c r="R194" s="180" t="e">
        <f>YEAR([1]!Tableau13[[#This Row],[Date début]])</f>
        <v>#REF!</v>
      </c>
    </row>
    <row r="195" spans="1:18" ht="15.75" customHeight="1">
      <c r="A195" s="46">
        <v>43950</v>
      </c>
      <c r="B195" s="47">
        <v>407</v>
      </c>
      <c r="C195" s="37" t="str">
        <f>IF(ISNA(VLOOKUP(Tableau13[[#This Row],[Code]],'Code Véhicule'!$A$4:$C$185,2,0)),"",VLOOKUP(Tableau13[[#This Row],[Code]],'Code Véhicule'!$A$4:$C$185,2,0))</f>
        <v>Semi remorque</v>
      </c>
      <c r="D195" s="38" t="str">
        <f>IF(ISNA(VLOOKUP(Tableau13[[#This Row],[Code]],'Code Véhicule'!$A$4:$C$185,3,0)),"",VLOOKUP(Tableau13[[#This Row],[Code]],'Code Véhicule'!$A$4:$C$185,3,0))</f>
        <v>MAN</v>
      </c>
      <c r="E195" s="36" t="str">
        <f>IF(ISNA(VLOOKUP(Tableau13[[#This Row],[Code]],'Code Véhicule'!$A$4:$D$185,4,0))," ",VLOOKUP(Tableau13[[#This Row],[Code]],'Code Véhicule'!$A$4:$D$185,4,0))</f>
        <v>706-A-73</v>
      </c>
      <c r="F195" s="47">
        <v>22988</v>
      </c>
      <c r="G195" s="48" t="s">
        <v>353</v>
      </c>
      <c r="H195" s="48"/>
      <c r="I195" s="49" t="s">
        <v>304</v>
      </c>
      <c r="J195" s="36" t="s">
        <v>550</v>
      </c>
      <c r="K195" s="36">
        <v>147726</v>
      </c>
      <c r="L195" s="40">
        <v>60</v>
      </c>
      <c r="M195" s="36">
        <v>60</v>
      </c>
      <c r="N195" s="41">
        <v>43950</v>
      </c>
      <c r="O195" s="38"/>
      <c r="P195" s="38"/>
      <c r="Q195" s="176" t="e">
        <f>MONTH([1]!Tableau13[[#This Row],[Date début]])</f>
        <v>#REF!</v>
      </c>
      <c r="R195" s="180" t="e">
        <f>YEAR([1]!Tableau13[[#This Row],[Date début]])</f>
        <v>#REF!</v>
      </c>
    </row>
    <row r="196" spans="1:18" ht="15.75" customHeight="1">
      <c r="A196" s="41">
        <v>43951</v>
      </c>
      <c r="B196" s="36">
        <v>403</v>
      </c>
      <c r="C196" s="37" t="str">
        <f>IF(ISNA(VLOOKUP(Tableau13[[#This Row],[Code]],'Code Véhicule'!$A$4:$C$185,2,0)),"",VLOOKUP(Tableau13[[#This Row],[Code]],'Code Véhicule'!$A$4:$C$185,2,0))</f>
        <v>Camion</v>
      </c>
      <c r="D196" s="38" t="str">
        <f>IF(ISNA(VLOOKUP(Tableau13[[#This Row],[Code]],'Code Véhicule'!$A$4:$C$185,3,0)),"",VLOOKUP(Tableau13[[#This Row],[Code]],'Code Véhicule'!$A$4:$C$185,3,0))</f>
        <v>MAN</v>
      </c>
      <c r="E196" s="36" t="str">
        <f>IF(ISNA(VLOOKUP(Tableau13[[#This Row],[Code]],'Code Véhicule'!$A$4:$D$185,4,0))," ",VLOOKUP(Tableau13[[#This Row],[Code]],'Code Véhicule'!$A$4:$D$185,4,0))</f>
        <v>4790-B-8</v>
      </c>
      <c r="F196" s="36">
        <v>22989</v>
      </c>
      <c r="G196" s="38" t="s">
        <v>394</v>
      </c>
      <c r="H196" s="38"/>
      <c r="I196" s="36" t="s">
        <v>304</v>
      </c>
      <c r="J196" s="36" t="s">
        <v>551</v>
      </c>
      <c r="K196" s="36">
        <v>147727</v>
      </c>
      <c r="L196" s="40">
        <v>120</v>
      </c>
      <c r="M196" s="36">
        <v>120</v>
      </c>
      <c r="N196" s="41">
        <v>43951</v>
      </c>
      <c r="O196" s="38"/>
      <c r="P196" s="38"/>
      <c r="Q196" s="176" t="e">
        <f>MONTH([1]!Tableau13[[#This Row],[Date début]])</f>
        <v>#REF!</v>
      </c>
      <c r="R196" s="180" t="e">
        <f>YEAR([1]!Tableau13[[#This Row],[Date début]])</f>
        <v>#REF!</v>
      </c>
    </row>
    <row r="197" spans="1:18" ht="15.75" customHeight="1">
      <c r="A197" s="35">
        <v>43953</v>
      </c>
      <c r="B197" s="36">
        <v>407</v>
      </c>
      <c r="C197" s="37" t="str">
        <f>IF(ISNA(VLOOKUP(Tableau13[[#This Row],[Code]],'Code Véhicule'!$A$4:$C$185,2,0)),"",VLOOKUP(Tableau13[[#This Row],[Code]],'Code Véhicule'!$A$4:$C$185,2,0))</f>
        <v>Semi remorque</v>
      </c>
      <c r="D197" s="38" t="str">
        <f>IF(ISNA(VLOOKUP(Tableau13[[#This Row],[Code]],'Code Véhicule'!$A$4:$C$185,3,0)),"",VLOOKUP(Tableau13[[#This Row],[Code]],'Code Véhicule'!$A$4:$C$185,3,0))</f>
        <v>MAN</v>
      </c>
      <c r="E197" s="36" t="str">
        <f>IF(ISNA(VLOOKUP(Tableau13[[#This Row],[Code]],'Code Véhicule'!$A$4:$D$185,4,0))," ",VLOOKUP(Tableau13[[#This Row],[Code]],'Code Véhicule'!$A$4:$D$185,4,0))</f>
        <v>706-A-73</v>
      </c>
      <c r="F197" s="36">
        <v>22990</v>
      </c>
      <c r="G197" s="48" t="s">
        <v>353</v>
      </c>
      <c r="H197" s="48"/>
      <c r="I197" s="49" t="s">
        <v>304</v>
      </c>
      <c r="J197" s="36" t="s">
        <v>550</v>
      </c>
      <c r="K197" s="36">
        <v>147728</v>
      </c>
      <c r="L197" s="40">
        <v>30</v>
      </c>
      <c r="M197" s="36">
        <v>30</v>
      </c>
      <c r="N197" s="41">
        <v>43953</v>
      </c>
      <c r="O197" s="38"/>
      <c r="P197" s="38"/>
      <c r="Q197" s="176" t="e">
        <f>MONTH([1]!Tableau13[[#This Row],[Date début]])</f>
        <v>#REF!</v>
      </c>
      <c r="R197" s="180" t="e">
        <f>YEAR([1]!Tableau13[[#This Row],[Date début]])</f>
        <v>#REF!</v>
      </c>
    </row>
    <row r="198" spans="1:18" ht="15.75" customHeight="1">
      <c r="A198" s="41">
        <v>43953</v>
      </c>
      <c r="B198" s="36">
        <v>430</v>
      </c>
      <c r="C198" s="37" t="str">
        <f>IF(ISNA(VLOOKUP(Tableau13[[#This Row],[Code]],'Code Véhicule'!$A$4:$C$185,2,0)),"",VLOOKUP(Tableau13[[#This Row],[Code]],'Code Véhicule'!$A$4:$C$185,2,0))</f>
        <v>Chariot elevateur</v>
      </c>
      <c r="D198" s="38" t="str">
        <f>IF(ISNA(VLOOKUP(Tableau13[[#This Row],[Code]],'Code Véhicule'!$A$4:$C$185,3,0)),"",VLOOKUP(Tableau13[[#This Row],[Code]],'Code Véhicule'!$A$4:$C$185,3,0))</f>
        <v>Fenwick  H40</v>
      </c>
      <c r="E198" s="36" t="str">
        <f>IF(ISNA(VLOOKUP(Tableau13[[#This Row],[Code]],'Code Véhicule'!$A$4:$D$185,4,0))," ",VLOOKUP(Tableau13[[#This Row],[Code]],'Code Véhicule'!$A$4:$D$185,4,0))</f>
        <v>-</v>
      </c>
      <c r="F198" s="36">
        <v>22991</v>
      </c>
      <c r="G198" s="38" t="s">
        <v>493</v>
      </c>
      <c r="H198" s="38"/>
      <c r="I198" s="36" t="s">
        <v>304</v>
      </c>
      <c r="J198" s="36" t="s">
        <v>552</v>
      </c>
      <c r="K198" s="36"/>
      <c r="L198" s="40">
        <v>180</v>
      </c>
      <c r="M198" s="36">
        <v>180</v>
      </c>
      <c r="N198" s="41">
        <v>43953</v>
      </c>
      <c r="O198" s="38"/>
      <c r="P198" s="38"/>
      <c r="Q198" s="176" t="e">
        <f>MONTH([1]!Tableau13[[#This Row],[Date début]])</f>
        <v>#REF!</v>
      </c>
      <c r="R198" s="180" t="e">
        <f>YEAR([1]!Tableau13[[#This Row],[Date début]])</f>
        <v>#REF!</v>
      </c>
    </row>
    <row r="199" spans="1:18" ht="15.75" customHeight="1">
      <c r="A199" s="41">
        <v>43955</v>
      </c>
      <c r="B199" s="36">
        <v>410</v>
      </c>
      <c r="C199" s="37" t="str">
        <f>IF(ISNA(VLOOKUP(Tableau13[[#This Row],[Code]],'Code Véhicule'!$A$4:$C$185,2,0)),"",VLOOKUP(Tableau13[[#This Row],[Code]],'Code Véhicule'!$A$4:$C$185,2,0))</f>
        <v>Semi remorque</v>
      </c>
      <c r="D199" s="38" t="str">
        <f>IF(ISNA(VLOOKUP(Tableau13[[#This Row],[Code]],'Code Véhicule'!$A$4:$C$185,3,0)),"",VLOOKUP(Tableau13[[#This Row],[Code]],'Code Véhicule'!$A$4:$C$185,3,0))</f>
        <v>MAN</v>
      </c>
      <c r="E199" s="36" t="str">
        <f>IF(ISNA(VLOOKUP(Tableau13[[#This Row],[Code]],'Code Véhicule'!$A$4:$D$185,4,0))," ",VLOOKUP(Tableau13[[#This Row],[Code]],'Code Véhicule'!$A$4:$D$185,4,0))</f>
        <v xml:space="preserve">28659-D-1 </v>
      </c>
      <c r="F199" s="36">
        <v>22992</v>
      </c>
      <c r="G199" s="38" t="s">
        <v>334</v>
      </c>
      <c r="H199" s="38"/>
      <c r="I199" s="36" t="s">
        <v>304</v>
      </c>
      <c r="J199" s="36" t="s">
        <v>553</v>
      </c>
      <c r="K199" s="36">
        <v>147729</v>
      </c>
      <c r="L199" s="40">
        <v>180</v>
      </c>
      <c r="M199" s="36">
        <v>180</v>
      </c>
      <c r="N199" s="41">
        <v>43955</v>
      </c>
      <c r="O199" s="38"/>
      <c r="P199" s="38"/>
      <c r="Q199" s="176" t="e">
        <f>MONTH([1]!Tableau13[[#This Row],[Date début]])</f>
        <v>#REF!</v>
      </c>
      <c r="R199" s="180" t="e">
        <f>YEAR([1]!Tableau13[[#This Row],[Date début]])</f>
        <v>#REF!</v>
      </c>
    </row>
    <row r="200" spans="1:18" ht="45" customHeight="1">
      <c r="A200" s="41">
        <v>43956</v>
      </c>
      <c r="B200" s="36">
        <v>439</v>
      </c>
      <c r="C200" s="37" t="str">
        <f>IF(ISNA(VLOOKUP(Tableau13[[#This Row],[Code]],'Code Véhicule'!$A$4:$C$185,2,0)),"",VLOOKUP(Tableau13[[#This Row],[Code]],'Code Véhicule'!$A$4:$C$185,2,0))</f>
        <v>Semi remorque</v>
      </c>
      <c r="D200" s="38" t="str">
        <f>IF(ISNA(VLOOKUP(Tableau13[[#This Row],[Code]],'Code Véhicule'!$A$4:$C$185,3,0)),"",VLOOKUP(Tableau13[[#This Row],[Code]],'Code Véhicule'!$A$4:$C$185,3,0))</f>
        <v>VOLVO</v>
      </c>
      <c r="E200" s="36" t="str">
        <f>IF(ISNA(VLOOKUP(Tableau13[[#This Row],[Code]],'Code Véhicule'!$A$4:$D$185,4,0))," ",VLOOKUP(Tableau13[[#This Row],[Code]],'Code Véhicule'!$A$4:$D$185,4,0))</f>
        <v xml:space="preserve">17886-A-73 </v>
      </c>
      <c r="F200" s="36">
        <v>22993</v>
      </c>
      <c r="G200" s="38" t="s">
        <v>554</v>
      </c>
      <c r="H200" s="38"/>
      <c r="I200" s="36" t="s">
        <v>304</v>
      </c>
      <c r="J200" s="36" t="s">
        <v>555</v>
      </c>
      <c r="K200" s="36">
        <v>147731</v>
      </c>
      <c r="L200" s="40">
        <v>240</v>
      </c>
      <c r="M200" s="36"/>
      <c r="N200" s="41">
        <v>43956</v>
      </c>
      <c r="O200" s="38"/>
      <c r="P200" s="38"/>
      <c r="Q200" s="176" t="e">
        <f>MONTH([1]!Tableau13[[#This Row],[Date début]])</f>
        <v>#REF!</v>
      </c>
      <c r="R200" s="180" t="e">
        <f>YEAR([1]!Tableau13[[#This Row],[Date début]])</f>
        <v>#REF!</v>
      </c>
    </row>
    <row r="201" spans="1:18" ht="90" customHeight="1">
      <c r="A201" s="41">
        <v>43958</v>
      </c>
      <c r="B201" s="36">
        <v>435</v>
      </c>
      <c r="C201" s="37" t="str">
        <f>IF(ISNA(VLOOKUP(Tableau13[[#This Row],[Code]],'Code Véhicule'!$A$4:$C$185,2,0)),"",VLOOKUP(Tableau13[[#This Row],[Code]],'Code Véhicule'!$A$4:$C$185,2,0))</f>
        <v>Camion</v>
      </c>
      <c r="D201" s="38" t="str">
        <f>IF(ISNA(VLOOKUP(Tableau13[[#This Row],[Code]],'Code Véhicule'!$A$4:$C$185,3,0)),"",VLOOKUP(Tableau13[[#This Row],[Code]],'Code Véhicule'!$A$4:$C$185,3,0))</f>
        <v>Mitsubishi</v>
      </c>
      <c r="E201" s="36" t="str">
        <f>IF(ISNA(VLOOKUP(Tableau13[[#This Row],[Code]],'Code Véhicule'!$A$4:$D$185,4,0))," ",VLOOKUP(Tableau13[[#This Row],[Code]],'Code Véhicule'!$A$4:$D$185,4,0))</f>
        <v xml:space="preserve"> 11469-A-73</v>
      </c>
      <c r="F201" s="36">
        <v>22994</v>
      </c>
      <c r="G201" s="38" t="s">
        <v>556</v>
      </c>
      <c r="H201" s="38"/>
      <c r="I201" s="36" t="s">
        <v>302</v>
      </c>
      <c r="J201" s="36" t="s">
        <v>563</v>
      </c>
      <c r="K201" s="36" t="s">
        <v>557</v>
      </c>
      <c r="L201" s="40">
        <v>360</v>
      </c>
      <c r="M201" s="36">
        <v>360</v>
      </c>
      <c r="N201" s="41">
        <v>43958</v>
      </c>
      <c r="O201" s="38"/>
      <c r="P201" s="38"/>
      <c r="Q201" s="176" t="e">
        <f>MONTH([1]!Tableau13[[#This Row],[Date début]])</f>
        <v>#REF!</v>
      </c>
      <c r="R201" s="180" t="e">
        <f>YEAR([1]!Tableau13[[#This Row],[Date début]])</f>
        <v>#REF!</v>
      </c>
    </row>
    <row r="202" spans="1:18" ht="45" customHeight="1">
      <c r="A202" s="41">
        <v>43960</v>
      </c>
      <c r="B202" s="36">
        <v>411</v>
      </c>
      <c r="C202" s="37" t="str">
        <f>IF(ISNA(VLOOKUP(Tableau13[[#This Row],[Code]],'Code Véhicule'!$A$4:$C$185,2,0)),"",VLOOKUP(Tableau13[[#This Row],[Code]],'Code Véhicule'!$A$4:$C$185,2,0))</f>
        <v>Camion</v>
      </c>
      <c r="D202" s="38" t="str">
        <f>IF(ISNA(VLOOKUP(Tableau13[[#This Row],[Code]],'Code Véhicule'!$A$4:$C$185,3,0)),"",VLOOKUP(Tableau13[[#This Row],[Code]],'Code Véhicule'!$A$4:$C$185,3,0))</f>
        <v>Renault</v>
      </c>
      <c r="E202" s="36" t="str">
        <f>IF(ISNA(VLOOKUP(Tableau13[[#This Row],[Code]],'Code Véhicule'!$A$4:$D$185,4,0))," ",VLOOKUP(Tableau13[[#This Row],[Code]],'Code Véhicule'!$A$4:$D$185,4,0))</f>
        <v>25636-A-13</v>
      </c>
      <c r="F202" s="36">
        <v>22995</v>
      </c>
      <c r="G202" s="38" t="s">
        <v>559</v>
      </c>
      <c r="H202" s="38"/>
      <c r="I202" s="36" t="s">
        <v>304</v>
      </c>
      <c r="J202" s="36" t="s">
        <v>558</v>
      </c>
      <c r="K202" s="36">
        <v>147740</v>
      </c>
      <c r="L202" s="40">
        <v>420</v>
      </c>
      <c r="M202" s="36">
        <v>420</v>
      </c>
      <c r="N202" s="41">
        <v>43960</v>
      </c>
      <c r="O202" s="38"/>
      <c r="P202" s="38"/>
      <c r="Q202" s="176" t="e">
        <f>MONTH([1]!Tableau13[[#This Row],[Date début]])</f>
        <v>#REF!</v>
      </c>
      <c r="R202" s="180" t="e">
        <f>YEAR([1]!Tableau13[[#This Row],[Date début]])</f>
        <v>#REF!</v>
      </c>
    </row>
    <row r="203" spans="1:18" ht="15.75" customHeight="1">
      <c r="A203" s="35">
        <v>43960</v>
      </c>
      <c r="B203" s="36">
        <v>480</v>
      </c>
      <c r="C203" s="37" t="str">
        <f>IF(ISNA(VLOOKUP(Tableau13[[#This Row],[Code]],'Code Véhicule'!$A$4:$C$185,2,0)),"",VLOOKUP(Tableau13[[#This Row],[Code]],'Code Véhicule'!$A$4:$C$185,2,0))</f>
        <v>Camion</v>
      </c>
      <c r="D203" s="38" t="str">
        <f>IF(ISNA(VLOOKUP(Tableau13[[#This Row],[Code]],'Code Véhicule'!$A$4:$C$185,3,0)),"",VLOOKUP(Tableau13[[#This Row],[Code]],'Code Véhicule'!$A$4:$C$185,3,0))</f>
        <v>VOLVO</v>
      </c>
      <c r="E203" s="36" t="str">
        <f>IF(ISNA(VLOOKUP(Tableau13[[#This Row],[Code]],'Code Véhicule'!$A$4:$D$185,4,0))," ",VLOOKUP(Tableau13[[#This Row],[Code]],'Code Véhicule'!$A$4:$D$185,4,0))</f>
        <v>22299-A-73</v>
      </c>
      <c r="F203" s="36">
        <v>22996</v>
      </c>
      <c r="G203" s="38" t="s">
        <v>560</v>
      </c>
      <c r="H203" s="38"/>
      <c r="I203" s="36" t="s">
        <v>304</v>
      </c>
      <c r="J203" s="36" t="s">
        <v>372</v>
      </c>
      <c r="K203" s="36">
        <v>147742</v>
      </c>
      <c r="L203" s="40">
        <v>120</v>
      </c>
      <c r="M203" s="36">
        <v>120</v>
      </c>
      <c r="N203" s="41">
        <v>43960</v>
      </c>
      <c r="O203" s="38"/>
      <c r="P203" s="38"/>
      <c r="Q203" s="176" t="e">
        <f>MONTH([1]!Tableau13[[#This Row],[Date début]])</f>
        <v>#REF!</v>
      </c>
      <c r="R203" s="180" t="e">
        <f>YEAR([1]!Tableau13[[#This Row],[Date début]])</f>
        <v>#REF!</v>
      </c>
    </row>
    <row r="204" spans="1:18" ht="15.75" customHeight="1">
      <c r="A204" s="41">
        <v>43963</v>
      </c>
      <c r="B204" s="36">
        <v>401</v>
      </c>
      <c r="C204" s="37" t="str">
        <f>IF(ISNA(VLOOKUP(Tableau13[[#This Row],[Code]],'Code Véhicule'!$A$4:$C$185,2,0)),"",VLOOKUP(Tableau13[[#This Row],[Code]],'Code Véhicule'!$A$4:$C$185,2,0))</f>
        <v>Camion</v>
      </c>
      <c r="D204" s="38" t="str">
        <f>IF(ISNA(VLOOKUP(Tableau13[[#This Row],[Code]],'Code Véhicule'!$A$4:$C$185,3,0)),"",VLOOKUP(Tableau13[[#This Row],[Code]],'Code Véhicule'!$A$4:$C$185,3,0))</f>
        <v>ISUZU</v>
      </c>
      <c r="E204" s="36" t="str">
        <f>IF(ISNA(VLOOKUP(Tableau13[[#This Row],[Code]],'Code Véhicule'!$A$4:$D$185,4,0))," ",VLOOKUP(Tableau13[[#This Row],[Code]],'Code Véhicule'!$A$4:$D$185,4,0))</f>
        <v>26128-A-8</v>
      </c>
      <c r="F204" s="36">
        <v>22997</v>
      </c>
      <c r="G204" s="38" t="s">
        <v>533</v>
      </c>
      <c r="H204" s="38"/>
      <c r="I204" s="36" t="s">
        <v>304</v>
      </c>
      <c r="J204" s="36" t="s">
        <v>561</v>
      </c>
      <c r="K204" s="36">
        <v>147745</v>
      </c>
      <c r="L204" s="40">
        <v>180</v>
      </c>
      <c r="M204" s="36">
        <v>180</v>
      </c>
      <c r="N204" s="41">
        <v>43963</v>
      </c>
      <c r="O204" s="38"/>
      <c r="P204" s="38"/>
      <c r="Q204" s="176" t="e">
        <f>MONTH([1]!Tableau13[[#This Row],[Date début]])</f>
        <v>#REF!</v>
      </c>
      <c r="R204" s="180" t="e">
        <f>YEAR([1]!Tableau13[[#This Row],[Date début]])</f>
        <v>#REF!</v>
      </c>
    </row>
    <row r="205" spans="1:18" ht="15.75" customHeight="1">
      <c r="A205" s="35">
        <v>43965</v>
      </c>
      <c r="B205" s="36">
        <v>413</v>
      </c>
      <c r="C205" s="37" t="str">
        <f>IF(ISNA(VLOOKUP(Tableau13[[#This Row],[Code]],'Code Véhicule'!$A$4:$C$185,2,0)),"",VLOOKUP(Tableau13[[#This Row],[Code]],'Code Véhicule'!$A$4:$C$185,2,0))</f>
        <v>Chargeur</v>
      </c>
      <c r="D205" s="38" t="str">
        <f>IF(ISNA(VLOOKUP(Tableau13[[#This Row],[Code]],'Code Véhicule'!$A$4:$C$185,3,0)),"",VLOOKUP(Tableau13[[#This Row],[Code]],'Code Véhicule'!$A$4:$C$185,3,0))</f>
        <v>Caterpillar</v>
      </c>
      <c r="E205" s="36" t="str">
        <f>IF(ISNA(VLOOKUP(Tableau13[[#This Row],[Code]],'Code Véhicule'!$A$4:$D$185,4,0))," ",VLOOKUP(Tableau13[[#This Row],[Code]],'Code Véhicule'!$A$4:$D$185,4,0))</f>
        <v>-</v>
      </c>
      <c r="F205" s="36">
        <v>22999</v>
      </c>
      <c r="G205" s="38" t="s">
        <v>393</v>
      </c>
      <c r="H205" s="38"/>
      <c r="I205" s="36" t="s">
        <v>302</v>
      </c>
      <c r="J205" s="36" t="s">
        <v>562</v>
      </c>
      <c r="K205" s="36">
        <v>145358</v>
      </c>
      <c r="L205" s="40">
        <v>30</v>
      </c>
      <c r="M205" s="36">
        <v>30</v>
      </c>
      <c r="N205" s="41">
        <v>43965</v>
      </c>
      <c r="O205" s="38"/>
      <c r="P205" s="38"/>
      <c r="Q205" s="176" t="e">
        <f>MONTH([1]!Tableau13[[#This Row],[Date début]])</f>
        <v>#REF!</v>
      </c>
      <c r="R205" s="180" t="e">
        <f>YEAR([1]!Tableau13[[#This Row],[Date début]])</f>
        <v>#REF!</v>
      </c>
    </row>
    <row r="206" spans="1:18" ht="30" customHeight="1">
      <c r="A206" s="41">
        <v>43966</v>
      </c>
      <c r="B206" s="36">
        <v>407</v>
      </c>
      <c r="C206" s="37" t="str">
        <f>IF(ISNA(VLOOKUP(Tableau13[[#This Row],[Code]],'Code Véhicule'!$A$4:$C$185,2,0)),"",VLOOKUP(Tableau13[[#This Row],[Code]],'Code Véhicule'!$A$4:$C$185,2,0))</f>
        <v>Semi remorque</v>
      </c>
      <c r="D206" s="38" t="str">
        <f>IF(ISNA(VLOOKUP(Tableau13[[#This Row],[Code]],'Code Véhicule'!$A$4:$C$185,3,0)),"",VLOOKUP(Tableau13[[#This Row],[Code]],'Code Véhicule'!$A$4:$C$185,3,0))</f>
        <v>MAN</v>
      </c>
      <c r="E206" s="36" t="str">
        <f>IF(ISNA(VLOOKUP(Tableau13[[#This Row],[Code]],'Code Véhicule'!$A$4:$D$185,4,0))," ",VLOOKUP(Tableau13[[#This Row],[Code]],'Code Véhicule'!$A$4:$D$185,4,0))</f>
        <v>706-A-73</v>
      </c>
      <c r="F206" s="36">
        <v>22901</v>
      </c>
      <c r="G206" s="38" t="s">
        <v>393</v>
      </c>
      <c r="H206" s="38"/>
      <c r="I206" s="36" t="s">
        <v>302</v>
      </c>
      <c r="J206" s="36" t="s">
        <v>564</v>
      </c>
      <c r="K206" s="36">
        <v>145360</v>
      </c>
      <c r="L206" s="40">
        <v>180</v>
      </c>
      <c r="M206" s="36">
        <v>180</v>
      </c>
      <c r="N206" s="41">
        <v>43966</v>
      </c>
      <c r="O206" s="38"/>
      <c r="P206" s="38"/>
      <c r="Q206" s="176" t="e">
        <f>MONTH([1]!Tableau13[[#This Row],[Date début]])</f>
        <v>#REF!</v>
      </c>
      <c r="R206" s="180" t="e">
        <f>YEAR([1]!Tableau13[[#This Row],[Date début]])</f>
        <v>#REF!</v>
      </c>
    </row>
    <row r="207" spans="1:18" ht="30" customHeight="1">
      <c r="A207" s="41">
        <v>43970</v>
      </c>
      <c r="B207" s="36">
        <v>433</v>
      </c>
      <c r="C207" s="37" t="str">
        <f>IF(ISNA(VLOOKUP(Tableau13[[#This Row],[Code]],'Code Véhicule'!$A$4:$C$185,2,0)),"",VLOOKUP(Tableau13[[#This Row],[Code]],'Code Véhicule'!$A$4:$C$185,2,0))</f>
        <v>Voiture de fonction</v>
      </c>
      <c r="D207" s="38" t="str">
        <f>IF(ISNA(VLOOKUP(Tableau13[[#This Row],[Code]],'Code Véhicule'!$A$4:$C$185,3,0)),"",VLOOKUP(Tableau13[[#This Row],[Code]],'Code Véhicule'!$A$4:$C$185,3,0))</f>
        <v>Berlingo</v>
      </c>
      <c r="E207" s="36" t="str">
        <f>IF(ISNA(VLOOKUP(Tableau13[[#This Row],[Code]],'Code Véhicule'!$A$4:$D$185,4,0))," ",VLOOKUP(Tableau13[[#This Row],[Code]],'Code Véhicule'!$A$4:$D$185,4,0))</f>
        <v>10551-A-73</v>
      </c>
      <c r="F207" s="36">
        <v>22902</v>
      </c>
      <c r="G207" s="38" t="s">
        <v>397</v>
      </c>
      <c r="H207" s="38"/>
      <c r="I207" s="36" t="s">
        <v>304</v>
      </c>
      <c r="J207" s="36" t="s">
        <v>565</v>
      </c>
      <c r="K207" s="36">
        <v>145365</v>
      </c>
      <c r="L207" s="40">
        <v>570</v>
      </c>
      <c r="M207" s="36">
        <v>570</v>
      </c>
      <c r="N207" s="41">
        <v>43971</v>
      </c>
      <c r="O207" s="38"/>
      <c r="P207" s="38"/>
      <c r="Q207" s="176" t="e">
        <f>MONTH([1]!Tableau13[[#This Row],[Date début]])</f>
        <v>#REF!</v>
      </c>
      <c r="R207" s="180" t="e">
        <f>YEAR([1]!Tableau13[[#This Row],[Date début]])</f>
        <v>#REF!</v>
      </c>
    </row>
    <row r="208" spans="1:18" ht="90" customHeight="1">
      <c r="A208" s="41">
        <v>43970</v>
      </c>
      <c r="B208" s="36">
        <v>410</v>
      </c>
      <c r="C208" s="37" t="str">
        <f>IF(ISNA(VLOOKUP(Tableau13[[#This Row],[Code]],'Code Véhicule'!$A$4:$C$185,2,0)),"",VLOOKUP(Tableau13[[#This Row],[Code]],'Code Véhicule'!$A$4:$C$185,2,0))</f>
        <v>Semi remorque</v>
      </c>
      <c r="D208" s="38" t="str">
        <f>IF(ISNA(VLOOKUP(Tableau13[[#This Row],[Code]],'Code Véhicule'!$A$4:$C$185,3,0)),"",VLOOKUP(Tableau13[[#This Row],[Code]],'Code Véhicule'!$A$4:$C$185,3,0))</f>
        <v>MAN</v>
      </c>
      <c r="E208" s="36" t="str">
        <f>IF(ISNA(VLOOKUP(Tableau13[[#This Row],[Code]],'Code Véhicule'!$A$4:$D$185,4,0))," ",VLOOKUP(Tableau13[[#This Row],[Code]],'Code Véhicule'!$A$4:$D$185,4,0))</f>
        <v xml:space="preserve">28659-D-1 </v>
      </c>
      <c r="F208" s="36">
        <v>22904</v>
      </c>
      <c r="G208" s="38" t="s">
        <v>399</v>
      </c>
      <c r="H208" s="38"/>
      <c r="I208" s="36" t="s">
        <v>304</v>
      </c>
      <c r="J208" s="36" t="s">
        <v>567</v>
      </c>
      <c r="K208" s="36" t="s">
        <v>568</v>
      </c>
      <c r="L208" s="40"/>
      <c r="M208" s="36"/>
      <c r="N208" s="36"/>
      <c r="O208" s="38"/>
      <c r="P208" s="38"/>
      <c r="Q208" s="176" t="e">
        <f>MONTH([1]!Tableau13[[#This Row],[Date début]])</f>
        <v>#REF!</v>
      </c>
      <c r="R208" s="180" t="e">
        <f>YEAR([1]!Tableau13[[#This Row],[Date début]])</f>
        <v>#REF!</v>
      </c>
    </row>
    <row r="209" spans="1:18" ht="15.75" customHeight="1">
      <c r="A209" s="35">
        <v>43970</v>
      </c>
      <c r="B209" s="36">
        <v>431</v>
      </c>
      <c r="C209" s="37" t="str">
        <f>IF(ISNA(VLOOKUP(Tableau13[[#This Row],[Code]],'Code Véhicule'!$A$4:$C$185,2,0)),"",VLOOKUP(Tableau13[[#This Row],[Code]],'Code Véhicule'!$A$4:$C$185,2,0))</f>
        <v>Chariot elevateur</v>
      </c>
      <c r="D209" s="38" t="str">
        <f>IF(ISNA(VLOOKUP(Tableau13[[#This Row],[Code]],'Code Véhicule'!$A$4:$C$185,3,0)),"",VLOOKUP(Tableau13[[#This Row],[Code]],'Code Véhicule'!$A$4:$C$185,3,0))</f>
        <v>Manitou M26-2</v>
      </c>
      <c r="E209" s="36" t="str">
        <f>IF(ISNA(VLOOKUP(Tableau13[[#This Row],[Code]],'Code Véhicule'!$A$4:$D$185,4,0))," ",VLOOKUP(Tableau13[[#This Row],[Code]],'Code Véhicule'!$A$4:$D$185,4,0))</f>
        <v>-</v>
      </c>
      <c r="F209" s="36">
        <v>23270</v>
      </c>
      <c r="G209" s="38" t="s">
        <v>393</v>
      </c>
      <c r="H209" s="38" t="s">
        <v>608</v>
      </c>
      <c r="I209" s="36" t="s">
        <v>302</v>
      </c>
      <c r="J209" s="36" t="s">
        <v>528</v>
      </c>
      <c r="K209" s="36"/>
      <c r="L209" s="40"/>
      <c r="M209" s="36"/>
      <c r="N209" s="36"/>
      <c r="O209" s="38"/>
      <c r="P209" s="38"/>
      <c r="Q209" s="176" t="e">
        <f>MONTH([1]!Tableau13[[#This Row],[Date début]])</f>
        <v>#REF!</v>
      </c>
      <c r="R209" s="180" t="e">
        <f>YEAR([1]!Tableau13[[#This Row],[Date début]])</f>
        <v>#REF!</v>
      </c>
    </row>
    <row r="210" spans="1:18" ht="30" customHeight="1">
      <c r="A210" s="35">
        <v>43971</v>
      </c>
      <c r="B210" s="36">
        <v>410</v>
      </c>
      <c r="C210" s="37" t="str">
        <f>IF(ISNA(VLOOKUP(Tableau13[[#This Row],[Code]],'Code Véhicule'!$A$4:$C$185,2,0)),"",VLOOKUP(Tableau13[[#This Row],[Code]],'Code Véhicule'!$A$4:$C$185,2,0))</f>
        <v>Semi remorque</v>
      </c>
      <c r="D210" s="38" t="str">
        <f>IF(ISNA(VLOOKUP(Tableau13[[#This Row],[Code]],'Code Véhicule'!$A$4:$C$185,3,0)),"",VLOOKUP(Tableau13[[#This Row],[Code]],'Code Véhicule'!$A$4:$C$185,3,0))</f>
        <v>MAN</v>
      </c>
      <c r="E210" s="36" t="str">
        <f>IF(ISNA(VLOOKUP(Tableau13[[#This Row],[Code]],'Code Véhicule'!$A$4:$D$185,4,0))," ",VLOOKUP(Tableau13[[#This Row],[Code]],'Code Véhicule'!$A$4:$D$185,4,0))</f>
        <v xml:space="preserve">28659-D-1 </v>
      </c>
      <c r="F210" s="36">
        <v>22903</v>
      </c>
      <c r="G210" s="38" t="s">
        <v>545</v>
      </c>
      <c r="H210" s="38"/>
      <c r="I210" s="36" t="s">
        <v>322</v>
      </c>
      <c r="J210" s="36" t="s">
        <v>566</v>
      </c>
      <c r="K210" s="36">
        <v>145366</v>
      </c>
      <c r="L210" s="40">
        <v>570</v>
      </c>
      <c r="M210" s="36">
        <v>570</v>
      </c>
      <c r="N210" s="41">
        <v>43971</v>
      </c>
      <c r="O210" s="38"/>
      <c r="P210" s="38"/>
      <c r="Q210" s="176" t="e">
        <f>MONTH([1]!Tableau13[[#This Row],[Date début]])</f>
        <v>#REF!</v>
      </c>
      <c r="R210" s="180" t="e">
        <f>YEAR([1]!Tableau13[[#This Row],[Date début]])</f>
        <v>#REF!</v>
      </c>
    </row>
    <row r="211" spans="1:18" ht="15.75" customHeight="1">
      <c r="A211" s="41">
        <v>43983</v>
      </c>
      <c r="B211" s="36">
        <v>438</v>
      </c>
      <c r="C211" s="37" t="str">
        <f>IF(ISNA(VLOOKUP(Tableau13[[#This Row],[Code]],'Code Véhicule'!$A$4:$C$185,2,0)),"",VLOOKUP(Tableau13[[#This Row],[Code]],'Code Véhicule'!$A$4:$C$185,2,0))</f>
        <v>Semi remorque</v>
      </c>
      <c r="D211" s="38" t="str">
        <f>IF(ISNA(VLOOKUP(Tableau13[[#This Row],[Code]],'Code Véhicule'!$A$4:$C$185,3,0)),"",VLOOKUP(Tableau13[[#This Row],[Code]],'Code Véhicule'!$A$4:$C$185,3,0))</f>
        <v>VOLVO</v>
      </c>
      <c r="E211" s="36" t="str">
        <f>IF(ISNA(VLOOKUP(Tableau13[[#This Row],[Code]],'Code Véhicule'!$A$4:$D$185,4,0))," ",VLOOKUP(Tableau13[[#This Row],[Code]],'Code Véhicule'!$A$4:$D$185,4,0))</f>
        <v xml:space="preserve">17885-A-73 </v>
      </c>
      <c r="F211" s="36">
        <v>22908</v>
      </c>
      <c r="G211" s="38" t="s">
        <v>393</v>
      </c>
      <c r="H211" s="38"/>
      <c r="I211" s="36" t="s">
        <v>302</v>
      </c>
      <c r="J211" s="36" t="s">
        <v>315</v>
      </c>
      <c r="K211" s="36"/>
      <c r="L211" s="40">
        <v>570</v>
      </c>
      <c r="M211" s="36">
        <v>570</v>
      </c>
      <c r="N211" s="41">
        <v>43983</v>
      </c>
      <c r="O211" s="38"/>
      <c r="P211" s="38"/>
      <c r="Q211" s="176" t="e">
        <f>MONTH([1]!Tableau13[[#This Row],[Date début]])</f>
        <v>#REF!</v>
      </c>
      <c r="R211" s="180" t="e">
        <f>YEAR([1]!Tableau13[[#This Row],[Date début]])</f>
        <v>#REF!</v>
      </c>
    </row>
    <row r="212" spans="1:18" ht="45" customHeight="1">
      <c r="A212" s="35">
        <v>43983</v>
      </c>
      <c r="B212" s="36">
        <v>429</v>
      </c>
      <c r="C212" s="37" t="str">
        <f>IF(ISNA(VLOOKUP(Tableau13[[#This Row],[Code]],'Code Véhicule'!$A$4:$C$185,2,0)),"",VLOOKUP(Tableau13[[#This Row],[Code]],'Code Véhicule'!$A$4:$C$185,2,0))</f>
        <v>Chariot elevateur</v>
      </c>
      <c r="D212" s="38" t="str">
        <f>IF(ISNA(VLOOKUP(Tableau13[[#This Row],[Code]],'Code Véhicule'!$A$4:$C$185,3,0)),"",VLOOKUP(Tableau13[[#This Row],[Code]],'Code Véhicule'!$A$4:$C$185,3,0))</f>
        <v>Fenwick HD30</v>
      </c>
      <c r="E212" s="36" t="str">
        <f>IF(ISNA(VLOOKUP(Tableau13[[#This Row],[Code]],'Code Véhicule'!$A$4:$D$185,4,0))," ",VLOOKUP(Tableau13[[#This Row],[Code]],'Code Véhicule'!$A$4:$D$185,4,0))</f>
        <v>-</v>
      </c>
      <c r="F212" s="36">
        <v>23268</v>
      </c>
      <c r="G212" s="38" t="s">
        <v>393</v>
      </c>
      <c r="H212" s="38" t="s">
        <v>608</v>
      </c>
      <c r="I212" s="36" t="s">
        <v>302</v>
      </c>
      <c r="J212" s="36" t="s">
        <v>654</v>
      </c>
      <c r="K212" s="36" t="s">
        <v>655</v>
      </c>
      <c r="L212" s="40">
        <v>570</v>
      </c>
      <c r="M212" s="36">
        <v>570</v>
      </c>
      <c r="N212" s="41">
        <v>43983</v>
      </c>
      <c r="O212" s="38"/>
      <c r="P212" s="38"/>
      <c r="Q212" s="176" t="e">
        <f>MONTH([1]!Tableau13[[#This Row],[Date début]])</f>
        <v>#REF!</v>
      </c>
      <c r="R212" s="180" t="e">
        <f>YEAR([1]!Tableau13[[#This Row],[Date début]])</f>
        <v>#REF!</v>
      </c>
    </row>
    <row r="213" spans="1:18" ht="15.75" customHeight="1">
      <c r="A213" s="41">
        <v>43984</v>
      </c>
      <c r="B213" s="36">
        <v>439</v>
      </c>
      <c r="C213" s="37" t="str">
        <f>IF(ISNA(VLOOKUP(Tableau13[[#This Row],[Code]],'Code Véhicule'!$A$4:$C$185,2,0)),"",VLOOKUP(Tableau13[[#This Row],[Code]],'Code Véhicule'!$A$4:$C$185,2,0))</f>
        <v>Semi remorque</v>
      </c>
      <c r="D213" s="38" t="str">
        <f>IF(ISNA(VLOOKUP(Tableau13[[#This Row],[Code]],'Code Véhicule'!$A$4:$C$185,3,0)),"",VLOOKUP(Tableau13[[#This Row],[Code]],'Code Véhicule'!$A$4:$C$185,3,0))</f>
        <v>VOLVO</v>
      </c>
      <c r="E213" s="36" t="str">
        <f>IF(ISNA(VLOOKUP(Tableau13[[#This Row],[Code]],'Code Véhicule'!$A$4:$D$185,4,0))," ",VLOOKUP(Tableau13[[#This Row],[Code]],'Code Véhicule'!$A$4:$D$185,4,0))</f>
        <v xml:space="preserve">17886-A-73 </v>
      </c>
      <c r="F213" s="36">
        <v>22909</v>
      </c>
      <c r="G213" s="38" t="s">
        <v>393</v>
      </c>
      <c r="H213" s="38"/>
      <c r="I213" s="36" t="s">
        <v>302</v>
      </c>
      <c r="J213" s="36" t="s">
        <v>315</v>
      </c>
      <c r="K213" s="36"/>
      <c r="L213" s="40">
        <v>570</v>
      </c>
      <c r="M213" s="36">
        <v>570</v>
      </c>
      <c r="N213" s="41">
        <v>43984</v>
      </c>
      <c r="O213" s="38"/>
      <c r="P213" s="38"/>
      <c r="Q213" s="176" t="e">
        <f>MONTH([1]!Tableau13[[#This Row],[Date début]])</f>
        <v>#REF!</v>
      </c>
      <c r="R213" s="180" t="e">
        <f>YEAR([1]!Tableau13[[#This Row],[Date début]])</f>
        <v>#REF!</v>
      </c>
    </row>
    <row r="214" spans="1:18" ht="30">
      <c r="A214" s="35">
        <v>43984</v>
      </c>
      <c r="B214" s="36">
        <v>471</v>
      </c>
      <c r="C214" s="37" t="str">
        <f>IF(ISNA(VLOOKUP(Tableau13[[#This Row],[Code]],'Code Véhicule'!$A$4:$C$185,2,0)),"",VLOOKUP(Tableau13[[#This Row],[Code]],'Code Véhicule'!$A$4:$C$185,2,0))</f>
        <v>Bus de transport</v>
      </c>
      <c r="D214" s="38" t="str">
        <f>IF(ISNA(VLOOKUP(Tableau13[[#This Row],[Code]],'Code Véhicule'!$A$4:$C$185,3,0)),"",VLOOKUP(Tableau13[[#This Row],[Code]],'Code Véhicule'!$A$4:$C$185,3,0))</f>
        <v xml:space="preserve">Hyundai County </v>
      </c>
      <c r="E214" s="36" t="str">
        <f>IF(ISNA(VLOOKUP(Tableau13[[#This Row],[Code]],'Code Véhicule'!$A$4:$D$185,4,0))," ",VLOOKUP(Tableau13[[#This Row],[Code]],'Code Véhicule'!$A$4:$D$185,4,0))</f>
        <v>18516-A-73</v>
      </c>
      <c r="F214" s="36">
        <v>22448</v>
      </c>
      <c r="G214" s="38" t="s">
        <v>393</v>
      </c>
      <c r="H214" s="38" t="s">
        <v>608</v>
      </c>
      <c r="I214" s="36" t="s">
        <v>302</v>
      </c>
      <c r="J214" s="36" t="s">
        <v>589</v>
      </c>
      <c r="K214" s="36">
        <v>146854</v>
      </c>
      <c r="L214" s="40">
        <v>120</v>
      </c>
      <c r="M214" s="36">
        <v>120</v>
      </c>
      <c r="N214" s="41">
        <v>44014</v>
      </c>
      <c r="O214" s="38"/>
      <c r="P214" s="38"/>
      <c r="Q214" s="176" t="e">
        <f>MONTH([1]!Tableau13[[#This Row],[Date début]])</f>
        <v>#REF!</v>
      </c>
      <c r="R214" s="180" t="e">
        <f>YEAR([1]!Tableau13[[#This Row],[Date début]])</f>
        <v>#REF!</v>
      </c>
    </row>
    <row r="215" spans="1:18" ht="15.75" customHeight="1">
      <c r="A215" s="41">
        <v>43986</v>
      </c>
      <c r="B215" s="36">
        <v>403</v>
      </c>
      <c r="C215" s="37" t="str">
        <f>IF(ISNA(VLOOKUP(Tableau13[[#This Row],[Code]],'Code Véhicule'!$A$4:$C$185,2,0)),"",VLOOKUP(Tableau13[[#This Row],[Code]],'Code Véhicule'!$A$4:$C$185,2,0))</f>
        <v>Camion</v>
      </c>
      <c r="D215" s="38" t="str">
        <f>IF(ISNA(VLOOKUP(Tableau13[[#This Row],[Code]],'Code Véhicule'!$A$4:$C$185,3,0)),"",VLOOKUP(Tableau13[[#This Row],[Code]],'Code Véhicule'!$A$4:$C$185,3,0))</f>
        <v>MAN</v>
      </c>
      <c r="E215" s="36" t="str">
        <f>IF(ISNA(VLOOKUP(Tableau13[[#This Row],[Code]],'Code Véhicule'!$A$4:$D$185,4,0))," ",VLOOKUP(Tableau13[[#This Row],[Code]],'Code Véhicule'!$A$4:$D$185,4,0))</f>
        <v>4790-B-8</v>
      </c>
      <c r="F215" s="36">
        <v>22905</v>
      </c>
      <c r="G215" s="38" t="s">
        <v>353</v>
      </c>
      <c r="H215" s="38"/>
      <c r="I215" s="36" t="s">
        <v>304</v>
      </c>
      <c r="J215" s="90" t="s">
        <v>464</v>
      </c>
      <c r="K215" s="36">
        <v>145372</v>
      </c>
      <c r="L215" s="40">
        <v>360</v>
      </c>
      <c r="M215" s="36">
        <v>360</v>
      </c>
      <c r="N215" s="41">
        <v>43986</v>
      </c>
      <c r="O215" s="38"/>
      <c r="P215" s="38"/>
      <c r="Q215" s="176" t="e">
        <f>MONTH([1]!Tableau13[[#This Row],[Date début]])</f>
        <v>#REF!</v>
      </c>
      <c r="R215" s="180" t="e">
        <f>YEAR([1]!Tableau13[[#This Row],[Date début]])</f>
        <v>#REF!</v>
      </c>
    </row>
    <row r="216" spans="1:18" ht="15.75" customHeight="1">
      <c r="A216" s="35">
        <v>43987</v>
      </c>
      <c r="B216" s="36">
        <v>429</v>
      </c>
      <c r="C216" s="37" t="str">
        <f>IF(ISNA(VLOOKUP(Tableau13[[#This Row],[Code]],'Code Véhicule'!$A$4:$C$185,2,0)),"",VLOOKUP(Tableau13[[#This Row],[Code]],'Code Véhicule'!$A$4:$C$185,2,0))</f>
        <v>Chariot elevateur</v>
      </c>
      <c r="D216" s="38" t="str">
        <f>IF(ISNA(VLOOKUP(Tableau13[[#This Row],[Code]],'Code Véhicule'!$A$4:$C$185,3,0)),"",VLOOKUP(Tableau13[[#This Row],[Code]],'Code Véhicule'!$A$4:$C$185,3,0))</f>
        <v>Fenwick HD30</v>
      </c>
      <c r="E216" s="36" t="str">
        <f>IF(ISNA(VLOOKUP(Tableau13[[#This Row],[Code]],'Code Véhicule'!$A$4:$D$185,4,0))," ",VLOOKUP(Tableau13[[#This Row],[Code]],'Code Véhicule'!$A$4:$D$185,4,0))</f>
        <v>-</v>
      </c>
      <c r="F216" s="36">
        <v>23267</v>
      </c>
      <c r="G216" s="38" t="s">
        <v>651</v>
      </c>
      <c r="H216" s="38" t="s">
        <v>652</v>
      </c>
      <c r="I216" s="36" t="s">
        <v>304</v>
      </c>
      <c r="J216" s="36" t="s">
        <v>653</v>
      </c>
      <c r="K216" s="36">
        <v>145377</v>
      </c>
      <c r="L216" s="40">
        <v>120</v>
      </c>
      <c r="M216" s="36">
        <v>120</v>
      </c>
      <c r="N216" s="41">
        <v>43987</v>
      </c>
      <c r="O216" s="38"/>
      <c r="P216" s="38"/>
      <c r="Q216" s="176" t="e">
        <f>MONTH([1]!Tableau13[[#This Row],[Date début]])</f>
        <v>#REF!</v>
      </c>
      <c r="R216" s="180" t="e">
        <f>YEAR([1]!Tableau13[[#This Row],[Date début]])</f>
        <v>#REF!</v>
      </c>
    </row>
    <row r="217" spans="1:18" ht="15.75" customHeight="1">
      <c r="A217" s="41">
        <v>43990</v>
      </c>
      <c r="B217" s="36">
        <v>480</v>
      </c>
      <c r="C217" s="37" t="str">
        <f>IF(ISNA(VLOOKUP(Tableau13[[#This Row],[Code]],'Code Véhicule'!$A$4:$C$185,2,0)),"",VLOOKUP(Tableau13[[#This Row],[Code]],'Code Véhicule'!$A$4:$C$185,2,0))</f>
        <v>Camion</v>
      </c>
      <c r="D217" s="38" t="str">
        <f>IF(ISNA(VLOOKUP(Tableau13[[#This Row],[Code]],'Code Véhicule'!$A$4:$C$185,3,0)),"",VLOOKUP(Tableau13[[#This Row],[Code]],'Code Véhicule'!$A$4:$C$185,3,0))</f>
        <v>VOLVO</v>
      </c>
      <c r="E217" s="36" t="str">
        <f>IF(ISNA(VLOOKUP(Tableau13[[#This Row],[Code]],'Code Véhicule'!$A$4:$D$185,4,0))," ",VLOOKUP(Tableau13[[#This Row],[Code]],'Code Véhicule'!$A$4:$D$185,4,0))</f>
        <v>22299-A-73</v>
      </c>
      <c r="F217" s="36">
        <v>22907</v>
      </c>
      <c r="G217" s="38" t="s">
        <v>525</v>
      </c>
      <c r="H217" s="38"/>
      <c r="I217" s="36" t="s">
        <v>304</v>
      </c>
      <c r="J217" s="36" t="s">
        <v>547</v>
      </c>
      <c r="K217" s="36">
        <v>145382</v>
      </c>
      <c r="L217" s="40">
        <v>180</v>
      </c>
      <c r="M217" s="36">
        <v>180</v>
      </c>
      <c r="N217" s="41">
        <v>43990</v>
      </c>
      <c r="O217" s="38"/>
      <c r="P217" s="38"/>
      <c r="Q217" s="176" t="e">
        <f>MONTH([1]!Tableau13[[#This Row],[Date début]])</f>
        <v>#REF!</v>
      </c>
      <c r="R217" s="180" t="e">
        <f>YEAR([1]!Tableau13[[#This Row],[Date début]])</f>
        <v>#REF!</v>
      </c>
    </row>
    <row r="218" spans="1:18" ht="15.75" customHeight="1">
      <c r="A218" s="35">
        <v>43994</v>
      </c>
      <c r="B218" s="36">
        <v>430</v>
      </c>
      <c r="C218" s="37" t="str">
        <f>IF(ISNA(VLOOKUP(Tableau13[[#This Row],[Code]],'Code Véhicule'!$A$4:$C$185,2,0)),"",VLOOKUP(Tableau13[[#This Row],[Code]],'Code Véhicule'!$A$4:$C$185,2,0))</f>
        <v>Chariot elevateur</v>
      </c>
      <c r="D218" s="38" t="str">
        <f>IF(ISNA(VLOOKUP(Tableau13[[#This Row],[Code]],'Code Véhicule'!$A$4:$C$185,3,0)),"",VLOOKUP(Tableau13[[#This Row],[Code]],'Code Véhicule'!$A$4:$C$185,3,0))</f>
        <v>Fenwick  H40</v>
      </c>
      <c r="E218" s="36" t="str">
        <f>IF(ISNA(VLOOKUP(Tableau13[[#This Row],[Code]],'Code Véhicule'!$A$4:$D$185,4,0))," ",VLOOKUP(Tableau13[[#This Row],[Code]],'Code Véhicule'!$A$4:$D$185,4,0))</f>
        <v>-</v>
      </c>
      <c r="F218" s="36">
        <v>22428</v>
      </c>
      <c r="G218" s="38" t="s">
        <v>393</v>
      </c>
      <c r="H218" s="38"/>
      <c r="I218" s="36" t="s">
        <v>302</v>
      </c>
      <c r="J218" s="36" t="s">
        <v>521</v>
      </c>
      <c r="K218" s="36"/>
      <c r="L218" s="40"/>
      <c r="M218" s="40" t="str">
        <f>IF(ISBLANK(Tableau13[[#This Row],[N BS]]),"",(Tableau13[[#This Row],[N BS]]-Tableau13[[#This Row],[Date début]]))</f>
        <v/>
      </c>
      <c r="N218" s="41"/>
      <c r="O218" s="45"/>
      <c r="P218" s="45"/>
      <c r="Q218" s="176" t="e">
        <f>MONTH([1]!Tableau13[[#This Row],[Date début]])</f>
        <v>#REF!</v>
      </c>
      <c r="R218" s="180" t="e">
        <f>YEAR([1]!Tableau13[[#This Row],[Date début]])</f>
        <v>#REF!</v>
      </c>
    </row>
    <row r="219" spans="1:18" ht="30" customHeight="1">
      <c r="A219" s="41">
        <v>43994</v>
      </c>
      <c r="B219" s="36">
        <v>431</v>
      </c>
      <c r="C219" s="37" t="str">
        <f>IF(ISNA(VLOOKUP(Tableau13[[#This Row],[Code]],'Code Véhicule'!$A$4:$C$185,2,0)),"",VLOOKUP(Tableau13[[#This Row],[Code]],'Code Véhicule'!$A$4:$C$185,2,0))</f>
        <v>Chariot elevateur</v>
      </c>
      <c r="D219" s="38" t="str">
        <f>IF(ISNA(VLOOKUP(Tableau13[[#This Row],[Code]],'Code Véhicule'!$A$4:$C$185,3,0)),"",VLOOKUP(Tableau13[[#This Row],[Code]],'Code Véhicule'!$A$4:$C$185,3,0))</f>
        <v>Manitou M26-2</v>
      </c>
      <c r="E219" s="36" t="str">
        <f>IF(ISNA(VLOOKUP(Tableau13[[#This Row],[Code]],'Code Véhicule'!$A$4:$D$185,4,0))," ",VLOOKUP(Tableau13[[#This Row],[Code]],'Code Véhicule'!$A$4:$D$185,4,0))</f>
        <v>-</v>
      </c>
      <c r="F219" s="36">
        <v>22429</v>
      </c>
      <c r="G219" s="38" t="s">
        <v>511</v>
      </c>
      <c r="H219" s="38"/>
      <c r="I219" s="36" t="s">
        <v>304</v>
      </c>
      <c r="J219" s="36" t="s">
        <v>579</v>
      </c>
      <c r="K219" s="36" t="s">
        <v>580</v>
      </c>
      <c r="L219" s="40">
        <v>570</v>
      </c>
      <c r="M219" s="36">
        <v>570</v>
      </c>
      <c r="N219" s="41">
        <v>43995</v>
      </c>
      <c r="O219" s="38"/>
      <c r="P219" s="38"/>
      <c r="Q219" s="176" t="e">
        <f>MONTH([1]!Tableau13[[#This Row],[Date début]])</f>
        <v>#REF!</v>
      </c>
      <c r="R219" s="180" t="e">
        <f>YEAR([1]!Tableau13[[#This Row],[Date début]])</f>
        <v>#REF!</v>
      </c>
    </row>
    <row r="220" spans="1:18" ht="30" customHeight="1">
      <c r="A220" s="35">
        <v>43995</v>
      </c>
      <c r="B220" s="36">
        <v>436</v>
      </c>
      <c r="C220" s="37" t="str">
        <f>IF(ISNA(VLOOKUP(Tableau13[[#This Row],[Code]],'Code Véhicule'!$A$4:$C$185,2,0)),"",VLOOKUP(Tableau13[[#This Row],[Code]],'Code Véhicule'!$A$4:$C$185,2,0))</f>
        <v>Camion</v>
      </c>
      <c r="D220" s="38" t="str">
        <f>IF(ISNA(VLOOKUP(Tableau13[[#This Row],[Code]],'Code Véhicule'!$A$4:$C$185,3,0)),"",VLOOKUP(Tableau13[[#This Row],[Code]],'Code Véhicule'!$A$4:$C$185,3,0))</f>
        <v>Mitsubishi</v>
      </c>
      <c r="E220" s="36" t="str">
        <f>IF(ISNA(VLOOKUP(Tableau13[[#This Row],[Code]],'Code Véhicule'!$A$4:$D$185,4,0))," ",VLOOKUP(Tableau13[[#This Row],[Code]],'Code Véhicule'!$A$4:$D$185,4,0))</f>
        <v>11470-A-73</v>
      </c>
      <c r="F220" s="36">
        <v>22911</v>
      </c>
      <c r="G220" s="38" t="s">
        <v>393</v>
      </c>
      <c r="H220" s="38"/>
      <c r="I220" s="36" t="s">
        <v>302</v>
      </c>
      <c r="J220" s="36" t="s">
        <v>572</v>
      </c>
      <c r="K220" s="36">
        <v>145396</v>
      </c>
      <c r="L220" s="40">
        <v>120</v>
      </c>
      <c r="M220" s="36">
        <v>120</v>
      </c>
      <c r="N220" s="41">
        <v>43995</v>
      </c>
      <c r="O220" s="38"/>
      <c r="P220" s="38"/>
      <c r="Q220" s="176" t="e">
        <f>MONTH([1]!Tableau13[[#This Row],[Date début]])</f>
        <v>#REF!</v>
      </c>
      <c r="R220" s="180" t="e">
        <f>YEAR([1]!Tableau13[[#This Row],[Date début]])</f>
        <v>#REF!</v>
      </c>
    </row>
    <row r="221" spans="1:18" ht="15.75" customHeight="1">
      <c r="A221" s="35">
        <v>43997</v>
      </c>
      <c r="B221" s="36">
        <v>406</v>
      </c>
      <c r="C221" s="37" t="str">
        <f>IF(ISNA(VLOOKUP(Tableau13[[#This Row],[Code]],'Code Véhicule'!$A$4:$C$185,2,0)),"",VLOOKUP(Tableau13[[#This Row],[Code]],'Code Véhicule'!$A$4:$C$185,2,0))</f>
        <v>Semi remorque</v>
      </c>
      <c r="D221" s="38" t="str">
        <f>IF(ISNA(VLOOKUP(Tableau13[[#This Row],[Code]],'Code Véhicule'!$A$4:$C$185,3,0)),"",VLOOKUP(Tableau13[[#This Row],[Code]],'Code Véhicule'!$A$4:$C$185,3,0))</f>
        <v>VOLVO</v>
      </c>
      <c r="E221" s="36" t="str">
        <f>IF(ISNA(VLOOKUP(Tableau13[[#This Row],[Code]],'Code Véhicule'!$A$4:$D$185,4,0))," ",VLOOKUP(Tableau13[[#This Row],[Code]],'Code Véhicule'!$A$4:$D$185,4,0))</f>
        <v>70352-A-6</v>
      </c>
      <c r="F221" s="36">
        <v>22906</v>
      </c>
      <c r="G221" s="38" t="s">
        <v>511</v>
      </c>
      <c r="H221" s="38"/>
      <c r="I221" s="36" t="s">
        <v>304</v>
      </c>
      <c r="J221" s="36" t="s">
        <v>569</v>
      </c>
      <c r="K221" s="36">
        <v>145375</v>
      </c>
      <c r="L221" s="40">
        <v>1140</v>
      </c>
      <c r="M221" s="36">
        <v>1140</v>
      </c>
      <c r="N221" s="41">
        <v>43998</v>
      </c>
      <c r="O221" s="38"/>
      <c r="P221" s="38"/>
      <c r="Q221" s="176" t="e">
        <f>MONTH([1]!Tableau13[[#This Row],[Date début]])</f>
        <v>#REF!</v>
      </c>
      <c r="R221" s="180" t="e">
        <f>YEAR([1]!Tableau13[[#This Row],[Date début]])</f>
        <v>#REF!</v>
      </c>
    </row>
    <row r="222" spans="1:18" ht="30" customHeight="1">
      <c r="A222" s="35">
        <v>43997</v>
      </c>
      <c r="B222" s="36">
        <v>435</v>
      </c>
      <c r="C222" s="37" t="str">
        <f>IF(ISNA(VLOOKUP(Tableau13[[#This Row],[Code]],'Code Véhicule'!$A$4:$C$185,2,0)),"",VLOOKUP(Tableau13[[#This Row],[Code]],'Code Véhicule'!$A$4:$C$185,2,0))</f>
        <v>Camion</v>
      </c>
      <c r="D222" s="38" t="str">
        <f>IF(ISNA(VLOOKUP(Tableau13[[#This Row],[Code]],'Code Véhicule'!$A$4:$C$185,3,0)),"",VLOOKUP(Tableau13[[#This Row],[Code]],'Code Véhicule'!$A$4:$C$185,3,0))</f>
        <v>Mitsubishi</v>
      </c>
      <c r="E222" s="36" t="str">
        <f>IF(ISNA(VLOOKUP(Tableau13[[#This Row],[Code]],'Code Véhicule'!$A$4:$D$185,4,0))," ",VLOOKUP(Tableau13[[#This Row],[Code]],'Code Véhicule'!$A$4:$D$185,4,0))</f>
        <v xml:space="preserve"> 11469-A-73</v>
      </c>
      <c r="F222" s="36">
        <v>22912</v>
      </c>
      <c r="G222" s="38" t="s">
        <v>525</v>
      </c>
      <c r="H222" s="38"/>
      <c r="I222" s="36" t="s">
        <v>304</v>
      </c>
      <c r="J222" s="36" t="s">
        <v>372</v>
      </c>
      <c r="K222" s="36">
        <v>146603</v>
      </c>
      <c r="L222" s="40">
        <v>120</v>
      </c>
      <c r="M222" s="36">
        <v>120</v>
      </c>
      <c r="N222" s="41">
        <v>43997</v>
      </c>
      <c r="O222" s="38"/>
      <c r="P222" s="38"/>
      <c r="Q222" s="176" t="e">
        <f>MONTH([1]!Tableau13[[#This Row],[Date début]])</f>
        <v>#REF!</v>
      </c>
      <c r="R222" s="180" t="e">
        <f>YEAR([1]!Tableau13[[#This Row],[Date début]])</f>
        <v>#REF!</v>
      </c>
    </row>
    <row r="223" spans="1:18" ht="15.75" customHeight="1">
      <c r="A223" s="41">
        <v>43997</v>
      </c>
      <c r="B223" s="36">
        <v>408</v>
      </c>
      <c r="C223" s="37" t="str">
        <f>IF(ISNA(VLOOKUP(Tableau13[[#This Row],[Code]],'Code Véhicule'!$A$4:$C$185,2,0)),"",VLOOKUP(Tableau13[[#This Row],[Code]],'Code Véhicule'!$A$4:$C$185,2,0))</f>
        <v>Camion</v>
      </c>
      <c r="D223" s="38" t="str">
        <f>IF(ISNA(VLOOKUP(Tableau13[[#This Row],[Code]],'Code Véhicule'!$A$4:$C$185,3,0)),"",VLOOKUP(Tableau13[[#This Row],[Code]],'Code Véhicule'!$A$4:$C$185,3,0))</f>
        <v>Mitsubishi</v>
      </c>
      <c r="E223" s="36" t="str">
        <f>IF(ISNA(VLOOKUP(Tableau13[[#This Row],[Code]],'Code Véhicule'!$A$4:$D$185,4,0))," ",VLOOKUP(Tableau13[[#This Row],[Code]],'Code Véhicule'!$A$4:$D$185,4,0))</f>
        <v>4703-A-73</v>
      </c>
      <c r="F223" s="36">
        <v>22913</v>
      </c>
      <c r="G223" s="38" t="s">
        <v>393</v>
      </c>
      <c r="H223" s="38"/>
      <c r="I223" s="36" t="s">
        <v>302</v>
      </c>
      <c r="J223" s="36" t="s">
        <v>573</v>
      </c>
      <c r="K223" s="36">
        <v>146604</v>
      </c>
      <c r="L223" s="40">
        <v>60</v>
      </c>
      <c r="M223" s="36">
        <v>60</v>
      </c>
      <c r="N223" s="41">
        <v>43997</v>
      </c>
      <c r="O223" s="38"/>
      <c r="P223" s="38"/>
      <c r="Q223" s="176" t="e">
        <f>MONTH([1]!Tableau13[[#This Row],[Date début]])</f>
        <v>#REF!</v>
      </c>
      <c r="R223" s="180" t="e">
        <f>YEAR([1]!Tableau13[[#This Row],[Date début]])</f>
        <v>#REF!</v>
      </c>
    </row>
    <row r="224" spans="1:18" ht="45" customHeight="1">
      <c r="A224" s="41">
        <v>43998</v>
      </c>
      <c r="B224" s="36">
        <v>410</v>
      </c>
      <c r="C224" s="37" t="str">
        <f>IF(ISNA(VLOOKUP(Tableau13[[#This Row],[Code]],'Code Véhicule'!$A$4:$C$185,2,0)),"",VLOOKUP(Tableau13[[#This Row],[Code]],'Code Véhicule'!$A$4:$C$185,2,0))</f>
        <v>Semi remorque</v>
      </c>
      <c r="D224" s="38" t="str">
        <f>IF(ISNA(VLOOKUP(Tableau13[[#This Row],[Code]],'Code Véhicule'!$A$4:$C$185,3,0)),"",VLOOKUP(Tableau13[[#This Row],[Code]],'Code Véhicule'!$A$4:$C$185,3,0))</f>
        <v>MAN</v>
      </c>
      <c r="E224" s="36" t="str">
        <f>IF(ISNA(VLOOKUP(Tableau13[[#This Row],[Code]],'Code Véhicule'!$A$4:$D$185,4,0))," ",VLOOKUP(Tableau13[[#This Row],[Code]],'Code Véhicule'!$A$4:$D$185,4,0))</f>
        <v xml:space="preserve">28659-D-1 </v>
      </c>
      <c r="F224" s="36">
        <v>22910</v>
      </c>
      <c r="G224" s="38" t="s">
        <v>313</v>
      </c>
      <c r="H224" s="38"/>
      <c r="I224" s="36" t="s">
        <v>304</v>
      </c>
      <c r="J224" s="36" t="s">
        <v>570</v>
      </c>
      <c r="K224" s="36" t="s">
        <v>571</v>
      </c>
      <c r="L224" s="40">
        <v>1710</v>
      </c>
      <c r="M224" s="36">
        <v>1710</v>
      </c>
      <c r="N224" s="41">
        <v>44002</v>
      </c>
      <c r="O224" s="38"/>
      <c r="P224" s="38"/>
      <c r="Q224" s="176" t="e">
        <f>MONTH([1]!Tableau13[[#This Row],[Date début]])</f>
        <v>#REF!</v>
      </c>
      <c r="R224" s="180" t="e">
        <f>YEAR([1]!Tableau13[[#This Row],[Date début]])</f>
        <v>#REF!</v>
      </c>
    </row>
    <row r="225" spans="1:18" ht="30" customHeight="1">
      <c r="A225" s="41">
        <v>43998</v>
      </c>
      <c r="B225" s="36">
        <v>408</v>
      </c>
      <c r="C225" s="37" t="str">
        <f>IF(ISNA(VLOOKUP(Tableau13[[#This Row],[Code]],'Code Véhicule'!$A$4:$C$185,2,0)),"",VLOOKUP(Tableau13[[#This Row],[Code]],'Code Véhicule'!$A$4:$C$185,2,0))</f>
        <v>Camion</v>
      </c>
      <c r="D225" s="38" t="str">
        <f>IF(ISNA(VLOOKUP(Tableau13[[#This Row],[Code]],'Code Véhicule'!$A$4:$C$185,3,0)),"",VLOOKUP(Tableau13[[#This Row],[Code]],'Code Véhicule'!$A$4:$C$185,3,0))</f>
        <v>Mitsubishi</v>
      </c>
      <c r="E225" s="36" t="str">
        <f>IF(ISNA(VLOOKUP(Tableau13[[#This Row],[Code]],'Code Véhicule'!$A$4:$D$185,4,0))," ",VLOOKUP(Tableau13[[#This Row],[Code]],'Code Véhicule'!$A$4:$D$185,4,0))</f>
        <v>4703-A-73</v>
      </c>
      <c r="F225" s="36">
        <v>22914</v>
      </c>
      <c r="G225" s="38" t="s">
        <v>511</v>
      </c>
      <c r="H225" s="38"/>
      <c r="I225" s="36" t="s">
        <v>304</v>
      </c>
      <c r="J225" s="36" t="s">
        <v>574</v>
      </c>
      <c r="K225" s="36">
        <v>146608</v>
      </c>
      <c r="L225" s="40">
        <v>60</v>
      </c>
      <c r="M225" s="36">
        <v>60</v>
      </c>
      <c r="N225" s="41">
        <v>43998</v>
      </c>
      <c r="O225" s="38"/>
      <c r="P225" s="38"/>
      <c r="Q225" s="176" t="e">
        <f>MONTH([1]!Tableau13[[#This Row],[Date début]])</f>
        <v>#REF!</v>
      </c>
      <c r="R225" s="180" t="e">
        <f>YEAR([1]!Tableau13[[#This Row],[Date début]])</f>
        <v>#REF!</v>
      </c>
    </row>
    <row r="226" spans="1:18" ht="15.75" customHeight="1">
      <c r="A226" s="41">
        <v>43998</v>
      </c>
      <c r="B226" s="36">
        <v>436</v>
      </c>
      <c r="C226" s="37" t="str">
        <f>IF(ISNA(VLOOKUP(Tableau13[[#This Row],[Code]],'Code Véhicule'!$A$4:$C$185,2,0)),"",VLOOKUP(Tableau13[[#This Row],[Code]],'Code Véhicule'!$A$4:$C$185,2,0))</f>
        <v>Camion</v>
      </c>
      <c r="D226" s="38" t="str">
        <f>IF(ISNA(VLOOKUP(Tableau13[[#This Row],[Code]],'Code Véhicule'!$A$4:$C$185,3,0)),"",VLOOKUP(Tableau13[[#This Row],[Code]],'Code Véhicule'!$A$4:$C$185,3,0))</f>
        <v>Mitsubishi</v>
      </c>
      <c r="E226" s="36" t="str">
        <f>IF(ISNA(VLOOKUP(Tableau13[[#This Row],[Code]],'Code Véhicule'!$A$4:$D$185,4,0))," ",VLOOKUP(Tableau13[[#This Row],[Code]],'Code Véhicule'!$A$4:$D$185,4,0))</f>
        <v>11470-A-73</v>
      </c>
      <c r="F226" s="36">
        <v>22915</v>
      </c>
      <c r="G226" s="38" t="s">
        <v>393</v>
      </c>
      <c r="H226" s="38"/>
      <c r="I226" s="36" t="s">
        <v>304</v>
      </c>
      <c r="J226" s="36" t="s">
        <v>575</v>
      </c>
      <c r="K226" s="36">
        <v>146612</v>
      </c>
      <c r="L226" s="40">
        <v>60</v>
      </c>
      <c r="M226" s="36">
        <v>60</v>
      </c>
      <c r="N226" s="41">
        <v>43998</v>
      </c>
      <c r="O226" s="38"/>
      <c r="P226" s="38"/>
      <c r="Q226" s="176" t="e">
        <f>MONTH([1]!Tableau13[[#This Row],[Date début]])</f>
        <v>#REF!</v>
      </c>
      <c r="R226" s="180" t="e">
        <f>YEAR([1]!Tableau13[[#This Row],[Date début]])</f>
        <v>#REF!</v>
      </c>
    </row>
    <row r="227" spans="1:18" ht="15.75" customHeight="1">
      <c r="A227" s="35">
        <v>44001</v>
      </c>
      <c r="B227" s="36">
        <v>411</v>
      </c>
      <c r="C227" s="37" t="str">
        <f>IF(ISNA(VLOOKUP(Tableau13[[#This Row],[Code]],'Code Véhicule'!$A$4:$C$185,2,0)),"",VLOOKUP(Tableau13[[#This Row],[Code]],'Code Véhicule'!$A$4:$C$185,2,0))</f>
        <v>Camion</v>
      </c>
      <c r="D227" s="38" t="str">
        <f>IF(ISNA(VLOOKUP(Tableau13[[#This Row],[Code]],'Code Véhicule'!$A$4:$C$185,3,0)),"",VLOOKUP(Tableau13[[#This Row],[Code]],'Code Véhicule'!$A$4:$C$185,3,0))</f>
        <v>Renault</v>
      </c>
      <c r="E227" s="36" t="str">
        <f>IF(ISNA(VLOOKUP(Tableau13[[#This Row],[Code]],'Code Véhicule'!$A$4:$D$185,4,0))," ",VLOOKUP(Tableau13[[#This Row],[Code]],'Code Véhicule'!$A$4:$D$185,4,0))</f>
        <v>25636-A-13</v>
      </c>
      <c r="F227" s="36">
        <v>22916</v>
      </c>
      <c r="G227" s="38" t="s">
        <v>576</v>
      </c>
      <c r="H227" s="38"/>
      <c r="I227" s="36" t="s">
        <v>304</v>
      </c>
      <c r="J227" s="90" t="s">
        <v>464</v>
      </c>
      <c r="K227" s="36">
        <v>146618</v>
      </c>
      <c r="L227" s="40">
        <v>120</v>
      </c>
      <c r="M227" s="36">
        <v>120</v>
      </c>
      <c r="N227" s="41">
        <v>44001</v>
      </c>
      <c r="O227" s="38"/>
      <c r="P227" s="38"/>
      <c r="Q227" s="176" t="e">
        <f>MONTH([1]!Tableau13[[#This Row],[Date début]])</f>
        <v>#REF!</v>
      </c>
      <c r="R227" s="180" t="e">
        <f>YEAR([1]!Tableau13[[#This Row],[Date début]])</f>
        <v>#REF!</v>
      </c>
    </row>
    <row r="228" spans="1:18" ht="30" customHeight="1">
      <c r="A228" s="41">
        <v>44001</v>
      </c>
      <c r="B228" s="36">
        <v>429</v>
      </c>
      <c r="C228" s="37" t="str">
        <f>IF(ISNA(VLOOKUP(Tableau13[[#This Row],[Code]],'Code Véhicule'!$A$4:$C$185,2,0)),"",VLOOKUP(Tableau13[[#This Row],[Code]],'Code Véhicule'!$A$4:$C$185,2,0))</f>
        <v>Chariot elevateur</v>
      </c>
      <c r="D228" s="38" t="str">
        <f>IF(ISNA(VLOOKUP(Tableau13[[#This Row],[Code]],'Code Véhicule'!$A$4:$C$185,3,0)),"",VLOOKUP(Tableau13[[#This Row],[Code]],'Code Véhicule'!$A$4:$C$185,3,0))</f>
        <v>Fenwick HD30</v>
      </c>
      <c r="E228" s="36" t="str">
        <f>IF(ISNA(VLOOKUP(Tableau13[[#This Row],[Code]],'Code Véhicule'!$A$4:$D$185,4,0))," ",VLOOKUP(Tableau13[[#This Row],[Code]],'Code Véhicule'!$A$4:$D$185,4,0))</f>
        <v>-</v>
      </c>
      <c r="F228" s="36">
        <v>22431</v>
      </c>
      <c r="G228" s="38" t="s">
        <v>402</v>
      </c>
      <c r="H228" s="38"/>
      <c r="I228" s="36" t="s">
        <v>304</v>
      </c>
      <c r="J228" s="36" t="s">
        <v>345</v>
      </c>
      <c r="K228" s="36" t="s">
        <v>581</v>
      </c>
      <c r="L228" s="40"/>
      <c r="M228" s="36"/>
      <c r="N228" s="36"/>
      <c r="O228" s="38"/>
      <c r="P228" s="38"/>
      <c r="Q228" s="176" t="e">
        <f>MONTH([1]!Tableau13[[#This Row],[Date début]])</f>
        <v>#REF!</v>
      </c>
      <c r="R228" s="180" t="e">
        <f>YEAR([1]!Tableau13[[#This Row],[Date début]])</f>
        <v>#REF!</v>
      </c>
    </row>
    <row r="229" spans="1:18" ht="45" customHeight="1">
      <c r="A229" s="41">
        <v>44002</v>
      </c>
      <c r="B229" s="36">
        <v>435</v>
      </c>
      <c r="C229" s="37" t="str">
        <f>IF(ISNA(VLOOKUP(Tableau13[[#This Row],[Code]],'Code Véhicule'!$A$4:$C$185,2,0)),"",VLOOKUP(Tableau13[[#This Row],[Code]],'Code Véhicule'!$A$4:$C$185,2,0))</f>
        <v>Camion</v>
      </c>
      <c r="D229" s="38" t="str">
        <f>IF(ISNA(VLOOKUP(Tableau13[[#This Row],[Code]],'Code Véhicule'!$A$4:$C$185,3,0)),"",VLOOKUP(Tableau13[[#This Row],[Code]],'Code Véhicule'!$A$4:$C$185,3,0))</f>
        <v>Mitsubishi</v>
      </c>
      <c r="E229" s="36" t="str">
        <f>IF(ISNA(VLOOKUP(Tableau13[[#This Row],[Code]],'Code Véhicule'!$A$4:$D$185,4,0))," ",VLOOKUP(Tableau13[[#This Row],[Code]],'Code Véhicule'!$A$4:$D$185,4,0))</f>
        <v xml:space="preserve"> 11469-A-73</v>
      </c>
      <c r="F229" s="36">
        <v>22917</v>
      </c>
      <c r="G229" s="38" t="s">
        <v>393</v>
      </c>
      <c r="H229" s="38"/>
      <c r="I229" s="36" t="s">
        <v>504</v>
      </c>
      <c r="J229" s="36" t="s">
        <v>577</v>
      </c>
      <c r="K229" s="36">
        <v>146626</v>
      </c>
      <c r="L229" s="40">
        <v>240</v>
      </c>
      <c r="M229" s="36">
        <v>240</v>
      </c>
      <c r="N229" s="41">
        <v>44002</v>
      </c>
      <c r="O229" s="38"/>
      <c r="P229" s="38"/>
      <c r="Q229" s="176" t="e">
        <f>MONTH([1]!Tableau13[[#This Row],[Date début]])</f>
        <v>#REF!</v>
      </c>
      <c r="R229" s="180" t="e">
        <f>YEAR([1]!Tableau13[[#This Row],[Date début]])</f>
        <v>#REF!</v>
      </c>
    </row>
    <row r="230" spans="1:18" ht="15.75" customHeight="1">
      <c r="A230" s="35">
        <v>44002</v>
      </c>
      <c r="B230" s="36">
        <v>413</v>
      </c>
      <c r="C230" s="37" t="str">
        <f>IF(ISNA(VLOOKUP(Tableau13[[#This Row],[Code]],'Code Véhicule'!$A$4:$C$185,2,0)),"",VLOOKUP(Tableau13[[#This Row],[Code]],'Code Véhicule'!$A$4:$C$185,2,0))</f>
        <v>Chargeur</v>
      </c>
      <c r="D230" s="38" t="str">
        <f>IF(ISNA(VLOOKUP(Tableau13[[#This Row],[Code]],'Code Véhicule'!$A$4:$C$185,3,0)),"",VLOOKUP(Tableau13[[#This Row],[Code]],'Code Véhicule'!$A$4:$C$185,3,0))</f>
        <v>Caterpillar</v>
      </c>
      <c r="E230" s="36" t="str">
        <f>IF(ISNA(VLOOKUP(Tableau13[[#This Row],[Code]],'Code Véhicule'!$A$4:$D$185,4,0))," ",VLOOKUP(Tableau13[[#This Row],[Code]],'Code Véhicule'!$A$4:$D$185,4,0))</f>
        <v>-</v>
      </c>
      <c r="F230" s="36">
        <v>22433</v>
      </c>
      <c r="G230" s="38" t="s">
        <v>393</v>
      </c>
      <c r="H230" s="38" t="s">
        <v>613</v>
      </c>
      <c r="I230" s="36" t="s">
        <v>302</v>
      </c>
      <c r="J230" s="36" t="s">
        <v>357</v>
      </c>
      <c r="K230" s="36">
        <v>146621</v>
      </c>
      <c r="L230" s="40">
        <v>30</v>
      </c>
      <c r="M230" s="40">
        <v>30</v>
      </c>
      <c r="N230" s="41">
        <v>44002</v>
      </c>
      <c r="O230" s="45"/>
      <c r="P230" s="45"/>
      <c r="Q230" s="176" t="e">
        <f>MONTH([1]!Tableau13[[#This Row],[Date début]])</f>
        <v>#REF!</v>
      </c>
      <c r="R230" s="180" t="e">
        <f>YEAR([1]!Tableau13[[#This Row],[Date début]])</f>
        <v>#REF!</v>
      </c>
    </row>
    <row r="231" spans="1:18" ht="30" customHeight="1">
      <c r="A231" s="35">
        <v>44002</v>
      </c>
      <c r="B231" s="36">
        <v>431</v>
      </c>
      <c r="C231" s="37" t="str">
        <f>IF(ISNA(VLOOKUP(Tableau13[[#This Row],[Code]],'Code Véhicule'!$A$4:$C$185,2,0)),"",VLOOKUP(Tableau13[[#This Row],[Code]],'Code Véhicule'!$A$4:$C$185,2,0))</f>
        <v>Chariot elevateur</v>
      </c>
      <c r="D231" s="38" t="str">
        <f>IF(ISNA(VLOOKUP(Tableau13[[#This Row],[Code]],'Code Véhicule'!$A$4:$C$185,3,0)),"",VLOOKUP(Tableau13[[#This Row],[Code]],'Code Véhicule'!$A$4:$C$185,3,0))</f>
        <v>Manitou M26-2</v>
      </c>
      <c r="E231" s="36" t="str">
        <f>IF(ISNA(VLOOKUP(Tableau13[[#This Row],[Code]],'Code Véhicule'!$A$4:$D$185,4,0))," ",VLOOKUP(Tableau13[[#This Row],[Code]],'Code Véhicule'!$A$4:$D$185,4,0))</f>
        <v>-</v>
      </c>
      <c r="F231" s="36">
        <v>22432</v>
      </c>
      <c r="G231" s="38" t="s">
        <v>610</v>
      </c>
      <c r="H231" s="38" t="s">
        <v>611</v>
      </c>
      <c r="I231" s="36" t="s">
        <v>304</v>
      </c>
      <c r="J231" s="36" t="s">
        <v>612</v>
      </c>
      <c r="K231" s="36">
        <v>146620</v>
      </c>
      <c r="L231" s="40">
        <v>240</v>
      </c>
      <c r="M231" s="40">
        <v>240</v>
      </c>
      <c r="N231" s="41">
        <v>44002</v>
      </c>
      <c r="O231" s="45"/>
      <c r="P231" s="45"/>
      <c r="Q231" s="176" t="e">
        <f>MONTH([1]!Tableau13[[#This Row],[Date début]])</f>
        <v>#REF!</v>
      </c>
      <c r="R231" s="180" t="e">
        <f>YEAR([1]!Tableau13[[#This Row],[Date début]])</f>
        <v>#REF!</v>
      </c>
    </row>
    <row r="232" spans="1:18" ht="15.75" customHeight="1">
      <c r="A232" s="41">
        <v>44004</v>
      </c>
      <c r="B232" s="36">
        <v>470</v>
      </c>
      <c r="C232" s="37" t="str">
        <f>IF(ISNA(VLOOKUP(Tableau13[[#This Row],[Code]],'Code Véhicule'!$A$4:$C$185,2,0)),"",VLOOKUP(Tableau13[[#This Row],[Code]],'Code Véhicule'!$A$4:$C$185,2,0))</f>
        <v/>
      </c>
      <c r="D232" s="38" t="str">
        <f>IF(ISNA(VLOOKUP(Tableau13[[#This Row],[Code]],'Code Véhicule'!$A$4:$C$185,3,0)),"",VLOOKUP(Tableau13[[#This Row],[Code]],'Code Véhicule'!$A$4:$C$185,3,0))</f>
        <v/>
      </c>
      <c r="E232" s="36" t="str">
        <f>IF(ISNA(VLOOKUP(Tableau13[[#This Row],[Code]],'Code Véhicule'!$A$4:$D$185,4,0))," ",VLOOKUP(Tableau13[[#This Row],[Code]],'Code Véhicule'!$A$4:$D$185,4,0))</f>
        <v xml:space="preserve"> </v>
      </c>
      <c r="F232" s="36">
        <v>22434</v>
      </c>
      <c r="G232" s="38" t="s">
        <v>511</v>
      </c>
      <c r="H232" s="38" t="s">
        <v>903</v>
      </c>
      <c r="I232" s="36" t="s">
        <v>304</v>
      </c>
      <c r="J232" s="36" t="s">
        <v>582</v>
      </c>
      <c r="K232" s="36">
        <v>146628</v>
      </c>
      <c r="L232" s="40">
        <v>120</v>
      </c>
      <c r="M232" s="36">
        <v>120</v>
      </c>
      <c r="N232" s="41">
        <v>44004</v>
      </c>
      <c r="O232" s="38"/>
      <c r="P232" s="38"/>
      <c r="Q232" s="176" t="e">
        <f>MONTH([1]!Tableau13[[#This Row],[Date début]])</f>
        <v>#REF!</v>
      </c>
      <c r="R232" s="180" t="e">
        <f>YEAR([1]!Tableau13[[#This Row],[Date début]])</f>
        <v>#REF!</v>
      </c>
    </row>
    <row r="233" spans="1:18" ht="30" customHeight="1">
      <c r="A233" s="35">
        <v>44004</v>
      </c>
      <c r="B233" s="36">
        <v>409</v>
      </c>
      <c r="C233" s="37" t="str">
        <f>IF(ISNA(VLOOKUP(Tableau13[[#This Row],[Code]],'Code Véhicule'!$A$4:$C$185,2,0)),"",VLOOKUP(Tableau13[[#This Row],[Code]],'Code Véhicule'!$A$4:$C$185,2,0))</f>
        <v>Camion</v>
      </c>
      <c r="D233" s="38" t="str">
        <f>IF(ISNA(VLOOKUP(Tableau13[[#This Row],[Code]],'Code Véhicule'!$A$4:$C$185,3,0)),"",VLOOKUP(Tableau13[[#This Row],[Code]],'Code Véhicule'!$A$4:$C$185,3,0))</f>
        <v>Mitsubishi</v>
      </c>
      <c r="E233" s="36" t="str">
        <f>IF(ISNA(VLOOKUP(Tableau13[[#This Row],[Code]],'Code Véhicule'!$A$4:$D$185,4,0))," ",VLOOKUP(Tableau13[[#This Row],[Code]],'Code Véhicule'!$A$4:$D$185,4,0))</f>
        <v xml:space="preserve">4969-A-73 </v>
      </c>
      <c r="F233" s="36">
        <v>22435</v>
      </c>
      <c r="G233" s="38" t="s">
        <v>393</v>
      </c>
      <c r="H233" s="38"/>
      <c r="I233" s="36" t="s">
        <v>322</v>
      </c>
      <c r="J233" s="36" t="s">
        <v>583</v>
      </c>
      <c r="K233" s="36">
        <v>146630</v>
      </c>
      <c r="L233" s="40">
        <v>180</v>
      </c>
      <c r="M233" s="36">
        <v>180</v>
      </c>
      <c r="N233" s="41">
        <v>44004</v>
      </c>
      <c r="O233" s="38"/>
      <c r="P233" s="38"/>
      <c r="Q233" s="176" t="e">
        <f>MONTH([1]!Tableau13[[#This Row],[Date début]])</f>
        <v>#REF!</v>
      </c>
      <c r="R233" s="180" t="e">
        <f>YEAR([1]!Tableau13[[#This Row],[Date début]])</f>
        <v>#REF!</v>
      </c>
    </row>
    <row r="234" spans="1:18" ht="15.75" customHeight="1">
      <c r="A234" s="41">
        <v>44005</v>
      </c>
      <c r="B234" s="36">
        <v>481</v>
      </c>
      <c r="C234" s="37" t="str">
        <f>IF(ISNA(VLOOKUP(Tableau13[[#This Row],[Code]],'Code Véhicule'!$A$4:$C$185,2,0)),"",VLOOKUP(Tableau13[[#This Row],[Code]],'Code Véhicule'!$A$4:$C$185,2,0))</f>
        <v>Camion</v>
      </c>
      <c r="D234" s="38" t="str">
        <f>IF(ISNA(VLOOKUP(Tableau13[[#This Row],[Code]],'Code Véhicule'!$A$4:$C$185,3,0)),"",VLOOKUP(Tableau13[[#This Row],[Code]],'Code Véhicule'!$A$4:$C$185,3,0))</f>
        <v>VOLVO</v>
      </c>
      <c r="E234" s="36" t="str">
        <f>IF(ISNA(VLOOKUP(Tableau13[[#This Row],[Code]],'Code Véhicule'!$A$4:$D$185,4,0))," ",VLOOKUP(Tableau13[[#This Row],[Code]],'Code Véhicule'!$A$4:$D$185,4,0))</f>
        <v>22300-A-73</v>
      </c>
      <c r="F234" s="36">
        <v>22436</v>
      </c>
      <c r="G234" s="38" t="s">
        <v>560</v>
      </c>
      <c r="H234" s="38"/>
      <c r="I234" s="36"/>
      <c r="J234" s="36" t="s">
        <v>584</v>
      </c>
      <c r="K234" s="36">
        <v>146631</v>
      </c>
      <c r="L234" s="40">
        <v>120</v>
      </c>
      <c r="M234" s="36">
        <v>120</v>
      </c>
      <c r="N234" s="41">
        <v>44005</v>
      </c>
      <c r="O234" s="38"/>
      <c r="P234" s="38"/>
      <c r="Q234" s="176" t="e">
        <f>MONTH([1]!Tableau13[[#This Row],[Date début]])</f>
        <v>#REF!</v>
      </c>
      <c r="R234" s="180" t="e">
        <f>YEAR([1]!Tableau13[[#This Row],[Date début]])</f>
        <v>#REF!</v>
      </c>
    </row>
    <row r="235" spans="1:18" ht="30" customHeight="1">
      <c r="A235" s="35">
        <v>44006</v>
      </c>
      <c r="B235" s="36">
        <v>482</v>
      </c>
      <c r="C235" s="37" t="str">
        <f>IF(ISNA(VLOOKUP(Tableau13[[#This Row],[Code]],'Code Véhicule'!$A$4:$C$185,2,0)),"",VLOOKUP(Tableau13[[#This Row],[Code]],'Code Véhicule'!$A$4:$C$185,2,0))</f>
        <v>Pick up</v>
      </c>
      <c r="D235" s="38" t="str">
        <f>IF(ISNA(VLOOKUP(Tableau13[[#This Row],[Code]],'Code Véhicule'!$A$4:$C$185,3,0)),"",VLOOKUP(Tableau13[[#This Row],[Code]],'Code Véhicule'!$A$4:$C$185,3,0))</f>
        <v>HYUNDAI H100</v>
      </c>
      <c r="E235" s="36" t="str">
        <f>IF(ISNA(VLOOKUP(Tableau13[[#This Row],[Code]],'Code Véhicule'!$A$4:$D$185,4,0))," ",VLOOKUP(Tableau13[[#This Row],[Code]],'Code Véhicule'!$A$4:$D$185,4,0))</f>
        <v>22368-A-73</v>
      </c>
      <c r="F235" s="36">
        <v>22437</v>
      </c>
      <c r="G235" s="38" t="s">
        <v>393</v>
      </c>
      <c r="H235" s="38"/>
      <c r="I235" s="36" t="s">
        <v>304</v>
      </c>
      <c r="J235" s="36" t="s">
        <v>315</v>
      </c>
      <c r="K235" s="36">
        <v>146634</v>
      </c>
      <c r="L235" s="40">
        <v>240</v>
      </c>
      <c r="M235" s="36">
        <v>240</v>
      </c>
      <c r="N235" s="41">
        <v>44006</v>
      </c>
      <c r="O235" s="38"/>
      <c r="P235" s="38"/>
      <c r="Q235" s="176" t="e">
        <f>MONTH([1]!Tableau13[[#This Row],[Date début]])</f>
        <v>#REF!</v>
      </c>
      <c r="R235" s="180" t="e">
        <f>YEAR([1]!Tableau13[[#This Row],[Date début]])</f>
        <v>#REF!</v>
      </c>
    </row>
    <row r="236" spans="1:18" ht="15.75" customHeight="1">
      <c r="A236" s="35">
        <v>44006</v>
      </c>
      <c r="B236" s="36">
        <v>472</v>
      </c>
      <c r="C236" s="37" t="str">
        <f>IF(ISNA(VLOOKUP(Tableau13[[#This Row],[Code]],'Code Véhicule'!$A$4:$C$185,2,0)),"",VLOOKUP(Tableau13[[#This Row],[Code]],'Code Véhicule'!$A$4:$C$185,2,0))</f>
        <v>Chariot elevateur</v>
      </c>
      <c r="D236" s="38" t="str">
        <f>IF(ISNA(VLOOKUP(Tableau13[[#This Row],[Code]],'Code Véhicule'!$A$4:$C$185,3,0)),"",VLOOKUP(Tableau13[[#This Row],[Code]],'Code Véhicule'!$A$4:$C$185,3,0))</f>
        <v>Linde H25d</v>
      </c>
      <c r="E236" s="36" t="str">
        <f>IF(ISNA(VLOOKUP(Tableau13[[#This Row],[Code]],'Code Véhicule'!$A$4:$D$185,4,0))," ",VLOOKUP(Tableau13[[#This Row],[Code]],'Code Véhicule'!$A$4:$D$185,4,0))</f>
        <v>-</v>
      </c>
      <c r="F236" s="36">
        <v>22438</v>
      </c>
      <c r="G236" s="38" t="s">
        <v>393</v>
      </c>
      <c r="H236" s="38"/>
      <c r="I236" s="36" t="s">
        <v>304</v>
      </c>
      <c r="J236" s="36" t="s">
        <v>315</v>
      </c>
      <c r="K236" s="36">
        <v>146635</v>
      </c>
      <c r="L236" s="40">
        <v>120</v>
      </c>
      <c r="M236" s="36">
        <v>120</v>
      </c>
      <c r="N236" s="41">
        <v>44006</v>
      </c>
      <c r="O236" s="38"/>
      <c r="P236" s="38"/>
      <c r="Q236" s="176" t="e">
        <f>MONTH([1]!Tableau13[[#This Row],[Date début]])</f>
        <v>#REF!</v>
      </c>
      <c r="R236" s="180" t="e">
        <f>YEAR([1]!Tableau13[[#This Row],[Date début]])</f>
        <v>#REF!</v>
      </c>
    </row>
    <row r="237" spans="1:18" ht="15.75" customHeight="1">
      <c r="A237" s="35">
        <v>44007</v>
      </c>
      <c r="B237" s="36">
        <v>477</v>
      </c>
      <c r="C237" s="37" t="str">
        <f>IF(ISNA(VLOOKUP(Tableau13[[#This Row],[Code]],'Code Véhicule'!$A$4:$C$185,2,0)),"",VLOOKUP(Tableau13[[#This Row],[Code]],'Code Véhicule'!$A$4:$C$185,2,0))</f>
        <v>Chariot elevateur</v>
      </c>
      <c r="D237" s="38" t="str">
        <f>IF(ISNA(VLOOKUP(Tableau13[[#This Row],[Code]],'Code Véhicule'!$A$4:$C$185,3,0)),"",VLOOKUP(Tableau13[[#This Row],[Code]],'Code Véhicule'!$A$4:$C$185,3,0))</f>
        <v>Linde H30D</v>
      </c>
      <c r="E237" s="36" t="str">
        <f>IF(ISNA(VLOOKUP(Tableau13[[#This Row],[Code]],'Code Véhicule'!$A$4:$D$185,4,0))," ",VLOOKUP(Tableau13[[#This Row],[Code]],'Code Véhicule'!$A$4:$D$185,4,0))</f>
        <v>-</v>
      </c>
      <c r="F237" s="36">
        <v>22439</v>
      </c>
      <c r="G237" s="38" t="s">
        <v>393</v>
      </c>
      <c r="H237" s="38" t="s">
        <v>608</v>
      </c>
      <c r="I237" s="36" t="s">
        <v>304</v>
      </c>
      <c r="J237" s="36" t="s">
        <v>315</v>
      </c>
      <c r="K237" s="36">
        <v>146636</v>
      </c>
      <c r="L237" s="40">
        <v>120</v>
      </c>
      <c r="M237" s="40">
        <v>120</v>
      </c>
      <c r="N237" s="41">
        <v>44007</v>
      </c>
      <c r="O237" s="45"/>
      <c r="P237" s="45"/>
      <c r="Q237" s="176" t="e">
        <f>MONTH([1]!Tableau13[[#This Row],[Date début]])</f>
        <v>#REF!</v>
      </c>
      <c r="R237" s="180" t="e">
        <f>YEAR([1]!Tableau13[[#This Row],[Date début]])</f>
        <v>#REF!</v>
      </c>
    </row>
    <row r="238" spans="1:18" ht="45" customHeight="1">
      <c r="A238" s="35">
        <v>44007</v>
      </c>
      <c r="B238" s="36">
        <v>403</v>
      </c>
      <c r="C238" s="37" t="str">
        <f>IF(ISNA(VLOOKUP(Tableau13[[#This Row],[Code]],'Code Véhicule'!$A$4:$C$185,2,0)),"",VLOOKUP(Tableau13[[#This Row],[Code]],'Code Véhicule'!$A$4:$C$185,2,0))</f>
        <v>Camion</v>
      </c>
      <c r="D238" s="38" t="str">
        <f>IF(ISNA(VLOOKUP(Tableau13[[#This Row],[Code]],'Code Véhicule'!$A$4:$C$185,3,0)),"",VLOOKUP(Tableau13[[#This Row],[Code]],'Code Véhicule'!$A$4:$C$185,3,0))</f>
        <v>MAN</v>
      </c>
      <c r="E238" s="36" t="str">
        <f>IF(ISNA(VLOOKUP(Tableau13[[#This Row],[Code]],'Code Véhicule'!$A$4:$D$185,4,0))," ",VLOOKUP(Tableau13[[#This Row],[Code]],'Code Véhicule'!$A$4:$D$185,4,0))</f>
        <v>4790-B-8</v>
      </c>
      <c r="F238" s="36">
        <v>22441</v>
      </c>
      <c r="G238" s="38" t="s">
        <v>585</v>
      </c>
      <c r="H238" s="38"/>
      <c r="I238" s="36" t="s">
        <v>304</v>
      </c>
      <c r="J238" s="36" t="s">
        <v>586</v>
      </c>
      <c r="K238" s="36"/>
      <c r="L238" s="40"/>
      <c r="M238" s="36"/>
      <c r="N238" s="36"/>
      <c r="O238" s="38"/>
      <c r="P238" s="38"/>
      <c r="Q238" s="176" t="e">
        <f>MONTH([1]!Tableau13[[#This Row],[Date début]])</f>
        <v>#REF!</v>
      </c>
      <c r="R238" s="180" t="e">
        <f>YEAR([1]!Tableau13[[#This Row],[Date début]])</f>
        <v>#REF!</v>
      </c>
    </row>
    <row r="239" spans="1:18" ht="15.75" customHeight="1">
      <c r="A239" s="35">
        <v>44007</v>
      </c>
      <c r="B239" s="36">
        <v>480</v>
      </c>
      <c r="C239" s="37" t="str">
        <f>IF(ISNA(VLOOKUP(Tableau13[[#This Row],[Code]],'Code Véhicule'!$A$4:$C$185,2,0)),"",VLOOKUP(Tableau13[[#This Row],[Code]],'Code Véhicule'!$A$4:$C$185,2,0))</f>
        <v>Camion</v>
      </c>
      <c r="D239" s="38" t="str">
        <f>IF(ISNA(VLOOKUP(Tableau13[[#This Row],[Code]],'Code Véhicule'!$A$4:$C$185,3,0)),"",VLOOKUP(Tableau13[[#This Row],[Code]],'Code Véhicule'!$A$4:$C$185,3,0))</f>
        <v>VOLVO</v>
      </c>
      <c r="E239" s="36" t="str">
        <f>IF(ISNA(VLOOKUP(Tableau13[[#This Row],[Code]],'Code Véhicule'!$A$4:$D$185,4,0))," ",VLOOKUP(Tableau13[[#This Row],[Code]],'Code Véhicule'!$A$4:$D$185,4,0))</f>
        <v>22299-A-73</v>
      </c>
      <c r="F239" s="36">
        <v>22442</v>
      </c>
      <c r="G239" s="38" t="s">
        <v>560</v>
      </c>
      <c r="H239" s="38" t="s">
        <v>604</v>
      </c>
      <c r="I239" s="36" t="s">
        <v>304</v>
      </c>
      <c r="J239" s="36" t="s">
        <v>614</v>
      </c>
      <c r="K239" s="36">
        <v>146641</v>
      </c>
      <c r="L239" s="40">
        <v>120</v>
      </c>
      <c r="M239" s="40">
        <v>120</v>
      </c>
      <c r="N239" s="41">
        <v>44007</v>
      </c>
      <c r="O239" s="45"/>
      <c r="P239" s="45"/>
      <c r="Q239" s="176" t="e">
        <f>MONTH([1]!Tableau13[[#This Row],[Date début]])</f>
        <v>#REF!</v>
      </c>
      <c r="R239" s="180" t="e">
        <f>YEAR([1]!Tableau13[[#This Row],[Date début]])</f>
        <v>#REF!</v>
      </c>
    </row>
    <row r="240" spans="1:18" ht="15.75" customHeight="1">
      <c r="A240" s="35">
        <v>44008</v>
      </c>
      <c r="B240" s="36">
        <v>411</v>
      </c>
      <c r="C240" s="37" t="str">
        <f>IF(ISNA(VLOOKUP(Tableau13[[#This Row],[Code]],'Code Véhicule'!$A$4:$C$185,2,0)),"",VLOOKUP(Tableau13[[#This Row],[Code]],'Code Véhicule'!$A$4:$C$185,2,0))</f>
        <v>Camion</v>
      </c>
      <c r="D240" s="38" t="str">
        <f>IF(ISNA(VLOOKUP(Tableau13[[#This Row],[Code]],'Code Véhicule'!$A$4:$C$185,3,0)),"",VLOOKUP(Tableau13[[#This Row],[Code]],'Code Véhicule'!$A$4:$C$185,3,0))</f>
        <v>Renault</v>
      </c>
      <c r="E240" s="36" t="str">
        <f>IF(ISNA(VLOOKUP(Tableau13[[#This Row],[Code]],'Code Véhicule'!$A$4:$D$185,4,0))," ",VLOOKUP(Tableau13[[#This Row],[Code]],'Code Véhicule'!$A$4:$D$185,4,0))</f>
        <v>25636-A-13</v>
      </c>
      <c r="F240" s="36">
        <v>22443</v>
      </c>
      <c r="G240" s="38" t="s">
        <v>523</v>
      </c>
      <c r="H240" s="38" t="s">
        <v>606</v>
      </c>
      <c r="I240" s="36" t="s">
        <v>304</v>
      </c>
      <c r="J240" s="36" t="s">
        <v>335</v>
      </c>
      <c r="K240" s="36">
        <v>146643</v>
      </c>
      <c r="L240" s="40">
        <v>180</v>
      </c>
      <c r="M240" s="40">
        <v>180</v>
      </c>
      <c r="N240" s="41">
        <v>44008</v>
      </c>
      <c r="O240" s="45"/>
      <c r="P240" s="45"/>
      <c r="Q240" s="176" t="e">
        <f>MONTH([1]!Tableau13[[#This Row],[Date début]])</f>
        <v>#REF!</v>
      </c>
      <c r="R240" s="180" t="e">
        <f>YEAR([1]!Tableau13[[#This Row],[Date début]])</f>
        <v>#REF!</v>
      </c>
    </row>
    <row r="241" spans="1:18" ht="15.75" customHeight="1">
      <c r="A241" s="35">
        <v>44009</v>
      </c>
      <c r="B241" s="36">
        <v>445</v>
      </c>
      <c r="C241" s="37" t="str">
        <f>IF(ISNA(VLOOKUP(Tableau13[[#This Row],[Code]],'Code Véhicule'!$A$4:$C$185,2,0)),"",VLOOKUP(Tableau13[[#This Row],[Code]],'Code Véhicule'!$A$4:$C$185,2,0))</f>
        <v/>
      </c>
      <c r="D241" s="38" t="str">
        <f>IF(ISNA(VLOOKUP(Tableau13[[#This Row],[Code]],'Code Véhicule'!$A$4:$C$185,3,0)),"",VLOOKUP(Tableau13[[#This Row],[Code]],'Code Véhicule'!$A$4:$C$185,3,0))</f>
        <v/>
      </c>
      <c r="E241" s="36" t="str">
        <f>IF(ISNA(VLOOKUP(Tableau13[[#This Row],[Code]],'Code Véhicule'!$A$4:$D$185,4,0))," ",VLOOKUP(Tableau13[[#This Row],[Code]],'Code Véhicule'!$A$4:$D$185,4,0))</f>
        <v xml:space="preserve"> </v>
      </c>
      <c r="F241" s="36">
        <v>22445</v>
      </c>
      <c r="G241" s="38" t="s">
        <v>493</v>
      </c>
      <c r="H241" s="38" t="s">
        <v>635</v>
      </c>
      <c r="I241" s="36" t="s">
        <v>304</v>
      </c>
      <c r="J241" s="36" t="s">
        <v>587</v>
      </c>
      <c r="K241" s="36">
        <v>146645</v>
      </c>
      <c r="L241" s="40">
        <v>1400</v>
      </c>
      <c r="M241" s="36">
        <v>1400</v>
      </c>
      <c r="N241" s="41">
        <v>44010</v>
      </c>
      <c r="O241" s="38"/>
      <c r="P241" s="38"/>
      <c r="Q241" s="176" t="e">
        <f>MONTH([1]!Tableau13[[#This Row],[Date début]])</f>
        <v>#REF!</v>
      </c>
      <c r="R241" s="180" t="e">
        <f>YEAR([1]!Tableau13[[#This Row],[Date début]])</f>
        <v>#REF!</v>
      </c>
    </row>
    <row r="242" spans="1:18" ht="15.75" customHeight="1">
      <c r="A242" s="35">
        <v>44012</v>
      </c>
      <c r="B242" s="36">
        <v>480</v>
      </c>
      <c r="C242" s="37" t="str">
        <f>IF(ISNA(VLOOKUP(Tableau13[[#This Row],[Code]],'Code Véhicule'!$A$4:$C$185,2,0)),"",VLOOKUP(Tableau13[[#This Row],[Code]],'Code Véhicule'!$A$4:$C$185,2,0))</f>
        <v>Camion</v>
      </c>
      <c r="D242" s="38" t="str">
        <f>IF(ISNA(VLOOKUP(Tableau13[[#This Row],[Code]],'Code Véhicule'!$A$4:$C$185,3,0)),"",VLOOKUP(Tableau13[[#This Row],[Code]],'Code Véhicule'!$A$4:$C$185,3,0))</f>
        <v>VOLVO</v>
      </c>
      <c r="E242" s="36" t="str">
        <f>IF(ISNA(VLOOKUP(Tableau13[[#This Row],[Code]],'Code Véhicule'!$A$4:$D$185,4,0))," ",VLOOKUP(Tableau13[[#This Row],[Code]],'Code Véhicule'!$A$4:$D$185,4,0))</f>
        <v>22299-A-73</v>
      </c>
      <c r="F242" s="36">
        <v>22447</v>
      </c>
      <c r="G242" s="38" t="s">
        <v>525</v>
      </c>
      <c r="H242" s="38" t="s">
        <v>622</v>
      </c>
      <c r="I242" s="36" t="s">
        <v>304</v>
      </c>
      <c r="J242" s="36" t="s">
        <v>588</v>
      </c>
      <c r="K242" s="36">
        <v>146852</v>
      </c>
      <c r="L242" s="40">
        <v>180</v>
      </c>
      <c r="M242" s="36">
        <v>180</v>
      </c>
      <c r="N242" s="41">
        <v>44010</v>
      </c>
      <c r="O242" s="38"/>
      <c r="P242" s="38"/>
      <c r="Q242" s="176" t="e">
        <f>MONTH([1]!Tableau13[[#This Row],[Date début]])</f>
        <v>#REF!</v>
      </c>
      <c r="R242" s="180" t="e">
        <f>YEAR([1]!Tableau13[[#This Row],[Date début]])</f>
        <v>#REF!</v>
      </c>
    </row>
    <row r="243" spans="1:18" ht="30" customHeight="1">
      <c r="A243" s="35">
        <v>44013</v>
      </c>
      <c r="B243" s="36">
        <v>435</v>
      </c>
      <c r="C243" s="37" t="str">
        <f>IF(ISNA(VLOOKUP(Tableau13[[#This Row],[Code]],'Code Véhicule'!$A$4:$C$185,2,0)),"",VLOOKUP(Tableau13[[#This Row],[Code]],'Code Véhicule'!$A$4:$C$185,2,0))</f>
        <v>Camion</v>
      </c>
      <c r="D243" s="38" t="str">
        <f>IF(ISNA(VLOOKUP(Tableau13[[#This Row],[Code]],'Code Véhicule'!$A$4:$C$185,3,0)),"",VLOOKUP(Tableau13[[#This Row],[Code]],'Code Véhicule'!$A$4:$C$185,3,0))</f>
        <v>Mitsubishi</v>
      </c>
      <c r="E243" s="36" t="str">
        <f>IF(ISNA(VLOOKUP(Tableau13[[#This Row],[Code]],'Code Véhicule'!$A$4:$D$185,4,0))," ",VLOOKUP(Tableau13[[#This Row],[Code]],'Code Véhicule'!$A$4:$D$185,4,0))</f>
        <v xml:space="preserve"> 11469-A-73</v>
      </c>
      <c r="F243" s="36">
        <v>22450</v>
      </c>
      <c r="G243" s="38" t="s">
        <v>511</v>
      </c>
      <c r="H243" s="38"/>
      <c r="I243" s="36" t="s">
        <v>304</v>
      </c>
      <c r="J243" s="36" t="s">
        <v>590</v>
      </c>
      <c r="K243" s="36">
        <v>146861</v>
      </c>
      <c r="L243" s="40">
        <v>120</v>
      </c>
      <c r="M243" s="36">
        <v>120</v>
      </c>
      <c r="N243" s="41">
        <v>44016</v>
      </c>
      <c r="O243" s="38"/>
      <c r="P243" s="38"/>
      <c r="Q243" s="176" t="e">
        <f>MONTH([1]!Tableau13[[#This Row],[Date début]])</f>
        <v>#REF!</v>
      </c>
      <c r="R243" s="180" t="e">
        <f>YEAR([1]!Tableau13[[#This Row],[Date début]])</f>
        <v>#REF!</v>
      </c>
    </row>
    <row r="244" spans="1:18" ht="15.75" customHeight="1">
      <c r="A244" s="35">
        <v>44015</v>
      </c>
      <c r="B244" s="36">
        <v>413</v>
      </c>
      <c r="C244" s="37" t="str">
        <f>IF(ISNA(VLOOKUP(Tableau13[[#This Row],[Code]],'Code Véhicule'!$A$4:$C$185,2,0)),"",VLOOKUP(Tableau13[[#This Row],[Code]],'Code Véhicule'!$A$4:$C$185,2,0))</f>
        <v>Chargeur</v>
      </c>
      <c r="D244" s="38" t="str">
        <f>IF(ISNA(VLOOKUP(Tableau13[[#This Row],[Code]],'Code Véhicule'!$A$4:$C$185,3,0)),"",VLOOKUP(Tableau13[[#This Row],[Code]],'Code Véhicule'!$A$4:$C$185,3,0))</f>
        <v>Caterpillar</v>
      </c>
      <c r="E244" s="36" t="str">
        <f>IF(ISNA(VLOOKUP(Tableau13[[#This Row],[Code]],'Code Véhicule'!$A$4:$D$185,4,0))," ",VLOOKUP(Tableau13[[#This Row],[Code]],'Code Véhicule'!$A$4:$D$185,4,0))</f>
        <v>-</v>
      </c>
      <c r="F244" s="36">
        <v>22449</v>
      </c>
      <c r="G244" s="38" t="s">
        <v>615</v>
      </c>
      <c r="H244" s="38" t="s">
        <v>616</v>
      </c>
      <c r="I244" s="36" t="s">
        <v>304</v>
      </c>
      <c r="J244" s="36" t="s">
        <v>617</v>
      </c>
      <c r="K244" s="36">
        <v>146857</v>
      </c>
      <c r="L244" s="40">
        <v>120</v>
      </c>
      <c r="M244" s="40">
        <v>120</v>
      </c>
      <c r="N244" s="41">
        <v>44015</v>
      </c>
      <c r="O244" s="45"/>
      <c r="P244" s="45"/>
      <c r="Q244" s="176" t="e">
        <f>MONTH([1]!Tableau13[[#This Row],[Date début]])</f>
        <v>#REF!</v>
      </c>
      <c r="R244" s="180" t="e">
        <f>YEAR([1]!Tableau13[[#This Row],[Date début]])</f>
        <v>#REF!</v>
      </c>
    </row>
    <row r="245" spans="1:18" ht="15.75" customHeight="1">
      <c r="A245" s="35">
        <v>44016</v>
      </c>
      <c r="B245" s="36">
        <v>411</v>
      </c>
      <c r="C245" s="37" t="str">
        <f>IF(ISNA(VLOOKUP(Tableau13[[#This Row],[Code]],'Code Véhicule'!$A$4:$C$185,2,0)),"",VLOOKUP(Tableau13[[#This Row],[Code]],'Code Véhicule'!$A$4:$C$185,2,0))</f>
        <v>Camion</v>
      </c>
      <c r="D245" s="38" t="str">
        <f>IF(ISNA(VLOOKUP(Tableau13[[#This Row],[Code]],'Code Véhicule'!$A$4:$C$185,3,0)),"",VLOOKUP(Tableau13[[#This Row],[Code]],'Code Véhicule'!$A$4:$C$185,3,0))</f>
        <v>Renault</v>
      </c>
      <c r="E245" s="36" t="str">
        <f>IF(ISNA(VLOOKUP(Tableau13[[#This Row],[Code]],'Code Véhicule'!$A$4:$D$185,4,0))," ",VLOOKUP(Tableau13[[#This Row],[Code]],'Code Véhicule'!$A$4:$D$185,4,0))</f>
        <v>25636-A-13</v>
      </c>
      <c r="F245" s="36">
        <v>23251</v>
      </c>
      <c r="G245" s="38" t="s">
        <v>398</v>
      </c>
      <c r="H245" s="38" t="s">
        <v>601</v>
      </c>
      <c r="I245" s="36" t="s">
        <v>304</v>
      </c>
      <c r="J245" s="36" t="s">
        <v>591</v>
      </c>
      <c r="K245" s="36">
        <v>146862</v>
      </c>
      <c r="L245" s="40">
        <v>1740</v>
      </c>
      <c r="M245" s="36">
        <v>1740</v>
      </c>
      <c r="N245" s="41">
        <v>44017</v>
      </c>
      <c r="O245" s="38"/>
      <c r="P245" s="38"/>
      <c r="Q245" s="176" t="e">
        <f>MONTH([1]!Tableau13[[#This Row],[Date début]])</f>
        <v>#REF!</v>
      </c>
      <c r="R245" s="180" t="e">
        <f>YEAR([1]!Tableau13[[#This Row],[Date début]])</f>
        <v>#REF!</v>
      </c>
    </row>
    <row r="246" spans="1:18" ht="15.75" customHeight="1">
      <c r="A246" s="35">
        <v>44018</v>
      </c>
      <c r="B246" s="36">
        <v>411</v>
      </c>
      <c r="C246" s="37" t="str">
        <f>IF(ISNA(VLOOKUP(Tableau13[[#This Row],[Code]],'Code Véhicule'!$A$4:$C$185,2,0)),"",VLOOKUP(Tableau13[[#This Row],[Code]],'Code Véhicule'!$A$4:$C$185,2,0))</f>
        <v>Camion</v>
      </c>
      <c r="D246" s="38" t="str">
        <f>IF(ISNA(VLOOKUP(Tableau13[[#This Row],[Code]],'Code Véhicule'!$A$4:$C$185,3,0)),"",VLOOKUP(Tableau13[[#This Row],[Code]],'Code Véhicule'!$A$4:$C$185,3,0))</f>
        <v>Renault</v>
      </c>
      <c r="E246" s="36" t="str">
        <f>IF(ISNA(VLOOKUP(Tableau13[[#This Row],[Code]],'Code Véhicule'!$A$4:$D$185,4,0))," ",VLOOKUP(Tableau13[[#This Row],[Code]],'Code Véhicule'!$A$4:$D$185,4,0))</f>
        <v>25636-A-13</v>
      </c>
      <c r="F246" s="36">
        <v>23252</v>
      </c>
      <c r="G246" s="38" t="s">
        <v>511</v>
      </c>
      <c r="H246" s="38" t="s">
        <v>602</v>
      </c>
      <c r="I246" s="36" t="s">
        <v>304</v>
      </c>
      <c r="J246" s="36" t="s">
        <v>592</v>
      </c>
      <c r="K246" s="36">
        <v>146863</v>
      </c>
      <c r="L246" s="40">
        <v>2280</v>
      </c>
      <c r="M246" s="36">
        <v>228</v>
      </c>
      <c r="N246" s="41">
        <v>44023</v>
      </c>
      <c r="O246" s="38"/>
      <c r="P246" s="38"/>
      <c r="Q246" s="176" t="e">
        <f>MONTH([1]!Tableau13[[#This Row],[Date début]])</f>
        <v>#REF!</v>
      </c>
      <c r="R246" s="180" t="e">
        <f>YEAR([1]!Tableau13[[#This Row],[Date début]])</f>
        <v>#REF!</v>
      </c>
    </row>
    <row r="247" spans="1:18" ht="30" customHeight="1">
      <c r="A247" s="35">
        <v>44021</v>
      </c>
      <c r="B247" s="36">
        <v>408</v>
      </c>
      <c r="C247" s="37" t="str">
        <f>IF(ISNA(VLOOKUP(Tableau13[[#This Row],[Code]],'Code Véhicule'!$A$4:$C$185,2,0)),"",VLOOKUP(Tableau13[[#This Row],[Code]],'Code Véhicule'!$A$4:$C$185,2,0))</f>
        <v>Camion</v>
      </c>
      <c r="D247" s="38" t="str">
        <f>IF(ISNA(VLOOKUP(Tableau13[[#This Row],[Code]],'Code Véhicule'!$A$4:$C$185,3,0)),"",VLOOKUP(Tableau13[[#This Row],[Code]],'Code Véhicule'!$A$4:$C$185,3,0))</f>
        <v>Mitsubishi</v>
      </c>
      <c r="E247" s="36" t="str">
        <f>IF(ISNA(VLOOKUP(Tableau13[[#This Row],[Code]],'Code Véhicule'!$A$4:$D$185,4,0))," ",VLOOKUP(Tableau13[[#This Row],[Code]],'Code Véhicule'!$A$4:$D$185,4,0))</f>
        <v>4703-A-73</v>
      </c>
      <c r="F247" s="36">
        <v>23254</v>
      </c>
      <c r="G247" s="38" t="s">
        <v>593</v>
      </c>
      <c r="H247" s="38" t="s">
        <v>603</v>
      </c>
      <c r="I247" s="36" t="s">
        <v>304</v>
      </c>
      <c r="J247" s="36" t="s">
        <v>594</v>
      </c>
      <c r="K247" s="36">
        <v>146870</v>
      </c>
      <c r="L247" s="40">
        <v>180</v>
      </c>
      <c r="M247" s="36">
        <v>180</v>
      </c>
      <c r="N247" s="41">
        <v>44020</v>
      </c>
      <c r="O247" s="38"/>
      <c r="P247" s="38"/>
      <c r="Q247" s="176" t="e">
        <f>MONTH([1]!Tableau13[[#This Row],[Date début]])</f>
        <v>#REF!</v>
      </c>
      <c r="R247" s="180" t="e">
        <f>YEAR([1]!Tableau13[[#This Row],[Date début]])</f>
        <v>#REF!</v>
      </c>
    </row>
    <row r="248" spans="1:18" ht="15.75" customHeight="1">
      <c r="A248" s="35">
        <v>44021</v>
      </c>
      <c r="B248" s="36">
        <v>411</v>
      </c>
      <c r="C248" s="37" t="str">
        <f>IF(ISNA(VLOOKUP(Tableau13[[#This Row],[Code]],'Code Véhicule'!$A$4:$C$185,2,0)),"",VLOOKUP(Tableau13[[#This Row],[Code]],'Code Véhicule'!$A$4:$C$185,2,0))</f>
        <v>Camion</v>
      </c>
      <c r="D248" s="38" t="str">
        <f>IF(ISNA(VLOOKUP(Tableau13[[#This Row],[Code]],'Code Véhicule'!$A$4:$C$185,3,0)),"",VLOOKUP(Tableau13[[#This Row],[Code]],'Code Véhicule'!$A$4:$C$185,3,0))</f>
        <v>Renault</v>
      </c>
      <c r="E248" s="36" t="str">
        <f>IF(ISNA(VLOOKUP(Tableau13[[#This Row],[Code]],'Code Véhicule'!$A$4:$D$185,4,0))," ",VLOOKUP(Tableau13[[#This Row],[Code]],'Code Véhicule'!$A$4:$D$185,4,0))</f>
        <v>25636-A-13</v>
      </c>
      <c r="F248" s="36">
        <v>23255</v>
      </c>
      <c r="G248" s="38" t="s">
        <v>525</v>
      </c>
      <c r="H248" s="38" t="s">
        <v>604</v>
      </c>
      <c r="I248" s="36" t="s">
        <v>304</v>
      </c>
      <c r="J248" s="36" t="s">
        <v>605</v>
      </c>
      <c r="K248" s="36">
        <v>146871</v>
      </c>
      <c r="L248" s="40">
        <v>120</v>
      </c>
      <c r="M248" s="40">
        <v>120</v>
      </c>
      <c r="N248" s="41">
        <v>44020</v>
      </c>
      <c r="O248" s="45"/>
      <c r="P248" s="45"/>
      <c r="Q248" s="176" t="e">
        <f>MONTH([1]!Tableau13[[#This Row],[Date début]])</f>
        <v>#REF!</v>
      </c>
      <c r="R248" s="180" t="e">
        <f>YEAR([1]!Tableau13[[#This Row],[Date début]])</f>
        <v>#REF!</v>
      </c>
    </row>
    <row r="249" spans="1:18" ht="30" customHeight="1">
      <c r="A249" s="35">
        <v>44023</v>
      </c>
      <c r="B249" s="36">
        <v>419</v>
      </c>
      <c r="C249" s="37" t="str">
        <f>IF(ISNA(VLOOKUP(Tableau13[[#This Row],[Code]],'Code Véhicule'!$A$4:$C$185,2,0)),"",VLOOKUP(Tableau13[[#This Row],[Code]],'Code Véhicule'!$A$4:$C$185,2,0))</f>
        <v>Voiture de fonction</v>
      </c>
      <c r="D249" s="38" t="str">
        <f>IF(ISNA(VLOOKUP(Tableau13[[#This Row],[Code]],'Code Véhicule'!$A$4:$C$185,3,0)),"",VLOOKUP(Tableau13[[#This Row],[Code]],'Code Véhicule'!$A$4:$C$185,3,0))</f>
        <v>kangoo</v>
      </c>
      <c r="E249" s="36" t="str">
        <f>IF(ISNA(VLOOKUP(Tableau13[[#This Row],[Code]],'Code Véhicule'!$A$4:$D$185,4,0))," ",VLOOKUP(Tableau13[[#This Row],[Code]],'Code Véhicule'!$A$4:$D$185,4,0))</f>
        <v>4812-A-73</v>
      </c>
      <c r="F249" s="36">
        <v>23257</v>
      </c>
      <c r="G249" s="38" t="s">
        <v>393</v>
      </c>
      <c r="H249" s="38" t="s">
        <v>608</v>
      </c>
      <c r="I249" s="36" t="s">
        <v>302</v>
      </c>
      <c r="J249" s="36" t="s">
        <v>595</v>
      </c>
      <c r="K249" s="36">
        <v>146877</v>
      </c>
      <c r="L249" s="40">
        <v>180</v>
      </c>
      <c r="M249" s="36">
        <v>180</v>
      </c>
      <c r="N249" s="41">
        <v>44023</v>
      </c>
      <c r="O249" s="38"/>
      <c r="P249" s="38"/>
      <c r="Q249" s="176" t="e">
        <f>MONTH([1]!Tableau13[[#This Row],[Date début]])</f>
        <v>#REF!</v>
      </c>
      <c r="R249" s="180" t="e">
        <f>YEAR([1]!Tableau13[[#This Row],[Date début]])</f>
        <v>#REF!</v>
      </c>
    </row>
    <row r="250" spans="1:18" ht="15.75" customHeight="1">
      <c r="A250" s="35">
        <v>44023</v>
      </c>
      <c r="B250" s="36">
        <v>436</v>
      </c>
      <c r="C250" s="37" t="str">
        <f>IF(ISNA(VLOOKUP(Tableau13[[#This Row],[Code]],'Code Véhicule'!$A$4:$C$185,2,0)),"",VLOOKUP(Tableau13[[#This Row],[Code]],'Code Véhicule'!$A$4:$C$185,2,0))</f>
        <v>Camion</v>
      </c>
      <c r="D250" s="38" t="str">
        <f>IF(ISNA(VLOOKUP(Tableau13[[#This Row],[Code]],'Code Véhicule'!$A$4:$C$185,3,0)),"",VLOOKUP(Tableau13[[#This Row],[Code]],'Code Véhicule'!$A$4:$C$185,3,0))</f>
        <v>Mitsubishi</v>
      </c>
      <c r="E250" s="36" t="str">
        <f>IF(ISNA(VLOOKUP(Tableau13[[#This Row],[Code]],'Code Véhicule'!$A$4:$D$185,4,0))," ",VLOOKUP(Tableau13[[#This Row],[Code]],'Code Véhicule'!$A$4:$D$185,4,0))</f>
        <v>11470-A-73</v>
      </c>
      <c r="F250" s="36">
        <v>23258</v>
      </c>
      <c r="G250" s="38" t="s">
        <v>523</v>
      </c>
      <c r="H250" s="38" t="s">
        <v>606</v>
      </c>
      <c r="I250" s="36" t="s">
        <v>304</v>
      </c>
      <c r="J250" s="36" t="s">
        <v>607</v>
      </c>
      <c r="K250" s="36">
        <v>146878</v>
      </c>
      <c r="L250" s="40">
        <v>120</v>
      </c>
      <c r="M250" s="40">
        <v>120</v>
      </c>
      <c r="N250" s="41">
        <v>44023</v>
      </c>
      <c r="O250" s="45"/>
      <c r="P250" s="45"/>
      <c r="Q250" s="176" t="e">
        <f>MONTH([1]!Tableau13[[#This Row],[Date début]])</f>
        <v>#REF!</v>
      </c>
      <c r="R250" s="180" t="e">
        <f>YEAR([1]!Tableau13[[#This Row],[Date début]])</f>
        <v>#REF!</v>
      </c>
    </row>
    <row r="251" spans="1:18" ht="15.75" customHeight="1">
      <c r="A251" s="35">
        <v>44026</v>
      </c>
      <c r="B251" s="36">
        <v>421</v>
      </c>
      <c r="C251" s="37" t="str">
        <f>IF(ISNA(VLOOKUP(Tableau13[[#This Row],[Code]],'Code Véhicule'!$A$4:$C$185,2,0)),"",VLOOKUP(Tableau13[[#This Row],[Code]],'Code Véhicule'!$A$4:$C$185,2,0))</f>
        <v>Chariot elevateur</v>
      </c>
      <c r="D251" s="38" t="str">
        <f>IF(ISNA(VLOOKUP(Tableau13[[#This Row],[Code]],'Code Véhicule'!$A$4:$C$185,3,0)),"",VLOOKUP(Tableau13[[#This Row],[Code]],'Code Véhicule'!$A$4:$C$185,3,0))</f>
        <v>Linde H30</v>
      </c>
      <c r="E251" s="36" t="str">
        <f>IF(ISNA(VLOOKUP(Tableau13[[#This Row],[Code]],'Code Véhicule'!$A$4:$D$185,4,0))," ",VLOOKUP(Tableau13[[#This Row],[Code]],'Code Véhicule'!$A$4:$D$185,4,0))</f>
        <v>-</v>
      </c>
      <c r="F251" s="36">
        <v>23260</v>
      </c>
      <c r="G251" s="38" t="s">
        <v>525</v>
      </c>
      <c r="H251" s="38" t="s">
        <v>622</v>
      </c>
      <c r="I251" s="36" t="s">
        <v>304</v>
      </c>
      <c r="J251" s="36" t="s">
        <v>596</v>
      </c>
      <c r="K251" s="36">
        <v>146880</v>
      </c>
      <c r="L251" s="40">
        <v>1140</v>
      </c>
      <c r="M251" s="36">
        <v>1140</v>
      </c>
      <c r="N251" s="41">
        <v>44028</v>
      </c>
      <c r="O251" s="38"/>
      <c r="P251" s="38"/>
      <c r="Q251" s="176" t="e">
        <f>MONTH([1]!Tableau13[[#This Row],[Date début]])</f>
        <v>#REF!</v>
      </c>
      <c r="R251" s="180" t="e">
        <f>YEAR([1]!Tableau13[[#This Row],[Date début]])</f>
        <v>#REF!</v>
      </c>
    </row>
    <row r="252" spans="1:18" ht="15.75" customHeight="1">
      <c r="A252" s="35">
        <v>44026</v>
      </c>
      <c r="B252" s="36"/>
      <c r="C252" s="37" t="str">
        <f>IF(ISNA(VLOOKUP(Tableau13[[#This Row],[Code]],'Code Véhicule'!$A$4:$C$185,2,0)),"",VLOOKUP(Tableau13[[#This Row],[Code]],'Code Véhicule'!$A$4:$C$185,2,0))</f>
        <v/>
      </c>
      <c r="D252" s="38" t="str">
        <f>IF(ISNA(VLOOKUP(Tableau13[[#This Row],[Code]],'Code Véhicule'!$A$4:$C$185,3,0)),"",VLOOKUP(Tableau13[[#This Row],[Code]],'Code Véhicule'!$A$4:$C$185,3,0))</f>
        <v/>
      </c>
      <c r="E252" s="36" t="str">
        <f>IF(ISNA(VLOOKUP(Tableau13[[#This Row],[Code]],'Code Véhicule'!$A$4:$D$185,4,0))," ",VLOOKUP(Tableau13[[#This Row],[Code]],'Code Véhicule'!$A$4:$D$185,4,0))</f>
        <v xml:space="preserve"> </v>
      </c>
      <c r="F252" s="36">
        <v>23262</v>
      </c>
      <c r="G252" s="38" t="s">
        <v>597</v>
      </c>
      <c r="H252" s="38"/>
      <c r="I252" s="36" t="s">
        <v>304</v>
      </c>
      <c r="J252" s="36" t="s">
        <v>598</v>
      </c>
      <c r="K252" s="36">
        <v>146888</v>
      </c>
      <c r="L252" s="40">
        <v>3400</v>
      </c>
      <c r="M252" s="36">
        <v>3400</v>
      </c>
      <c r="N252" s="41">
        <v>44035</v>
      </c>
      <c r="O252" s="38"/>
      <c r="P252" s="38"/>
      <c r="Q252" s="176" t="e">
        <f>MONTH([1]!Tableau13[[#This Row],[Date début]])</f>
        <v>#REF!</v>
      </c>
      <c r="R252" s="180" t="e">
        <f>YEAR([1]!Tableau13[[#This Row],[Date début]])</f>
        <v>#REF!</v>
      </c>
    </row>
    <row r="253" spans="1:18" ht="30" customHeight="1">
      <c r="A253" s="35">
        <v>44026</v>
      </c>
      <c r="B253" s="36"/>
      <c r="C253" s="37" t="str">
        <f>IF(ISNA(VLOOKUP(Tableau13[[#This Row],[Code]],'Code Véhicule'!$A$4:$C$185,2,0)),"",VLOOKUP(Tableau13[[#This Row],[Code]],'Code Véhicule'!$A$4:$C$185,2,0))</f>
        <v/>
      </c>
      <c r="D253" s="38" t="str">
        <f>IF(ISNA(VLOOKUP(Tableau13[[#This Row],[Code]],'Code Véhicule'!$A$4:$C$185,3,0)),"",VLOOKUP(Tableau13[[#This Row],[Code]],'Code Véhicule'!$A$4:$C$185,3,0))</f>
        <v/>
      </c>
      <c r="E253" s="36" t="str">
        <f>IF(ISNA(VLOOKUP(Tableau13[[#This Row],[Code]],'Code Véhicule'!$A$4:$D$185,4,0))," ",VLOOKUP(Tableau13[[#This Row],[Code]],'Code Véhicule'!$A$4:$D$185,4,0))</f>
        <v xml:space="preserve"> </v>
      </c>
      <c r="F253" s="36">
        <v>23259</v>
      </c>
      <c r="G253" s="38" t="s">
        <v>556</v>
      </c>
      <c r="H253" s="38" t="s">
        <v>608</v>
      </c>
      <c r="I253" s="36" t="s">
        <v>304</v>
      </c>
      <c r="J253" s="36" t="s">
        <v>609</v>
      </c>
      <c r="K253" s="36">
        <v>146881</v>
      </c>
      <c r="L253" s="40">
        <v>360</v>
      </c>
      <c r="M253" s="36">
        <v>360</v>
      </c>
      <c r="N253" s="41">
        <v>44026</v>
      </c>
      <c r="O253" s="38"/>
      <c r="P253" s="38"/>
      <c r="Q253" s="176" t="e">
        <f>MONTH([1]!Tableau13[[#This Row],[Date début]])</f>
        <v>#REF!</v>
      </c>
      <c r="R253" s="180" t="e">
        <f>YEAR([1]!Tableau13[[#This Row],[Date début]])</f>
        <v>#REF!</v>
      </c>
    </row>
    <row r="254" spans="1:18" ht="15.75" customHeight="1">
      <c r="A254" s="35">
        <v>44026</v>
      </c>
      <c r="B254" s="36">
        <v>421</v>
      </c>
      <c r="C254" s="37" t="str">
        <f>IF(ISNA(VLOOKUP(Tableau13[[#This Row],[Code]],'Code Véhicule'!$A$4:$C$185,2,0)),"",VLOOKUP(Tableau13[[#This Row],[Code]],'Code Véhicule'!$A$4:$C$185,2,0))</f>
        <v>Chariot elevateur</v>
      </c>
      <c r="D254" s="38" t="str">
        <f>IF(ISNA(VLOOKUP(Tableau13[[#This Row],[Code]],'Code Véhicule'!$A$4:$C$185,3,0)),"",VLOOKUP(Tableau13[[#This Row],[Code]],'Code Véhicule'!$A$4:$C$185,3,0))</f>
        <v>Linde H30</v>
      </c>
      <c r="E254" s="36" t="str">
        <f>IF(ISNA(VLOOKUP(Tableau13[[#This Row],[Code]],'Code Véhicule'!$A$4:$D$185,4,0))," ",VLOOKUP(Tableau13[[#This Row],[Code]],'Code Véhicule'!$A$4:$D$185,4,0))</f>
        <v>-</v>
      </c>
      <c r="F254" s="36">
        <v>23260</v>
      </c>
      <c r="G254" s="38" t="s">
        <v>511</v>
      </c>
      <c r="H254" s="38" t="s">
        <v>602</v>
      </c>
      <c r="I254" s="36" t="s">
        <v>304</v>
      </c>
      <c r="J254" s="36" t="s">
        <v>636</v>
      </c>
      <c r="K254" s="36">
        <v>146880</v>
      </c>
      <c r="L254" s="40"/>
      <c r="M254" s="40"/>
      <c r="N254" s="36"/>
      <c r="O254" s="45"/>
      <c r="P254" s="45"/>
      <c r="Q254" s="176" t="e">
        <f>MONTH([1]!Tableau13[[#This Row],[Date début]])</f>
        <v>#REF!</v>
      </c>
      <c r="R254" s="180" t="e">
        <f>YEAR([1]!Tableau13[[#This Row],[Date début]])</f>
        <v>#REF!</v>
      </c>
    </row>
    <row r="255" spans="1:18" ht="30" customHeight="1">
      <c r="A255" s="35">
        <v>44029</v>
      </c>
      <c r="B255" s="36">
        <v>435</v>
      </c>
      <c r="C255" s="37" t="str">
        <f>IF(ISNA(VLOOKUP(Tableau13[[#This Row],[Code]],'Code Véhicule'!$A$4:$C$185,2,0)),"",VLOOKUP(Tableau13[[#This Row],[Code]],'Code Véhicule'!$A$4:$C$185,2,0))</f>
        <v>Camion</v>
      </c>
      <c r="D255" s="38" t="str">
        <f>IF(ISNA(VLOOKUP(Tableau13[[#This Row],[Code]],'Code Véhicule'!$A$4:$C$185,3,0)),"",VLOOKUP(Tableau13[[#This Row],[Code]],'Code Véhicule'!$A$4:$C$185,3,0))</f>
        <v>Mitsubishi</v>
      </c>
      <c r="E255" s="36" t="str">
        <f>IF(ISNA(VLOOKUP(Tableau13[[#This Row],[Code]],'Code Véhicule'!$A$4:$D$185,4,0))," ",VLOOKUP(Tableau13[[#This Row],[Code]],'Code Véhicule'!$A$4:$D$185,4,0))</f>
        <v xml:space="preserve"> 11469-A-73</v>
      </c>
      <c r="F255" s="36"/>
      <c r="G255" s="38"/>
      <c r="H255" s="38"/>
      <c r="I255" s="36"/>
      <c r="J255" s="36"/>
      <c r="K255" s="36"/>
      <c r="L255" s="40"/>
      <c r="M255" s="40" t="str">
        <f>IF(ISBLANK(Tableau13[[#This Row],[N BS]]),"",(Tableau13[[#This Row],[N BS]]-Tableau13[[#This Row],[Date début]]))</f>
        <v/>
      </c>
      <c r="N255" s="41"/>
      <c r="O255" s="45"/>
      <c r="P255" s="45"/>
      <c r="Q255" s="176" t="e">
        <f>MONTH([1]!Tableau13[[#This Row],[Date début]])</f>
        <v>#REF!</v>
      </c>
      <c r="R255" s="180" t="e">
        <f>YEAR([1]!Tableau13[[#This Row],[Date début]])</f>
        <v>#REF!</v>
      </c>
    </row>
    <row r="256" spans="1:18" ht="15.75" customHeight="1">
      <c r="A256" s="35">
        <v>44030</v>
      </c>
      <c r="B256" s="36"/>
      <c r="C256" s="37" t="s">
        <v>597</v>
      </c>
      <c r="D256" s="38" t="str">
        <f>IF(ISNA(VLOOKUP(Tableau13[[#This Row],[Code]],'Code Véhicule'!$A$4:$C$185,3,0)),"",VLOOKUP(Tableau13[[#This Row],[Code]],'Code Véhicule'!$A$4:$C$185,3,0))</f>
        <v/>
      </c>
      <c r="E256" s="36" t="str">
        <f>IF(ISNA(VLOOKUP(Tableau13[[#This Row],[Code]],'Code Véhicule'!$A$4:$D$185,4,0))," ",VLOOKUP(Tableau13[[#This Row],[Code]],'Code Véhicule'!$A$4:$D$185,4,0))</f>
        <v xml:space="preserve"> </v>
      </c>
      <c r="F256" s="36">
        <v>23262</v>
      </c>
      <c r="G256" s="38" t="s">
        <v>597</v>
      </c>
      <c r="H256" s="38" t="s">
        <v>645</v>
      </c>
      <c r="I256" s="36" t="s">
        <v>304</v>
      </c>
      <c r="J256" s="36" t="s">
        <v>646</v>
      </c>
      <c r="K256" s="36">
        <v>146888</v>
      </c>
      <c r="L256" s="40">
        <v>3460</v>
      </c>
      <c r="M256" s="40">
        <v>3460</v>
      </c>
      <c r="N256" s="41">
        <v>44038</v>
      </c>
      <c r="O256" s="45"/>
      <c r="P256" s="45"/>
      <c r="Q256" s="176" t="e">
        <f>MONTH([1]!Tableau13[[#This Row],[Date début]])</f>
        <v>#REF!</v>
      </c>
      <c r="R256" s="180" t="e">
        <f>YEAR([1]!Tableau13[[#This Row],[Date début]])</f>
        <v>#REF!</v>
      </c>
    </row>
    <row r="257" spans="1:18" ht="45" customHeight="1">
      <c r="A257" s="35">
        <v>44033</v>
      </c>
      <c r="B257" s="36">
        <v>419</v>
      </c>
      <c r="C257" s="37" t="str">
        <f>IF(ISNA(VLOOKUP(Tableau13[[#This Row],[Code]],'Code Véhicule'!$A$4:$C$185,2,0)),"",VLOOKUP(Tableau13[[#This Row],[Code]],'Code Véhicule'!$A$4:$C$185,2,0))</f>
        <v>Voiture de fonction</v>
      </c>
      <c r="D257" s="38" t="str">
        <f>IF(ISNA(VLOOKUP(Tableau13[[#This Row],[Code]],'Code Véhicule'!$A$4:$C$185,3,0)),"",VLOOKUP(Tableau13[[#This Row],[Code]],'Code Véhicule'!$A$4:$C$185,3,0))</f>
        <v>kangoo</v>
      </c>
      <c r="E257" s="36" t="str">
        <f>IF(ISNA(VLOOKUP(Tableau13[[#This Row],[Code]],'Code Véhicule'!$A$4:$D$185,4,0))," ",VLOOKUP(Tableau13[[#This Row],[Code]],'Code Véhicule'!$A$4:$D$185,4,0))</f>
        <v>4812-A-73</v>
      </c>
      <c r="F257" s="36">
        <v>23266</v>
      </c>
      <c r="G257" s="38" t="s">
        <v>397</v>
      </c>
      <c r="H257" s="38" t="s">
        <v>649</v>
      </c>
      <c r="I257" s="36" t="s">
        <v>304</v>
      </c>
      <c r="J257" s="36" t="s">
        <v>650</v>
      </c>
      <c r="K257" s="36">
        <v>148801</v>
      </c>
      <c r="L257" s="40">
        <v>1140</v>
      </c>
      <c r="M257" s="36">
        <v>1140</v>
      </c>
      <c r="N257" s="41">
        <v>44034</v>
      </c>
      <c r="O257" s="38"/>
      <c r="P257" s="38"/>
      <c r="Q257" s="176" t="e">
        <f>MONTH([1]!Tableau13[[#This Row],[Date début]])</f>
        <v>#REF!</v>
      </c>
      <c r="R257" s="180" t="e">
        <f>YEAR([1]!Tableau13[[#This Row],[Date début]])</f>
        <v>#REF!</v>
      </c>
    </row>
    <row r="258" spans="1:18" ht="15.75" customHeight="1">
      <c r="A258" s="35">
        <v>44034</v>
      </c>
      <c r="B258" s="36">
        <v>445</v>
      </c>
      <c r="C258" s="37" t="str">
        <f>IF(ISNA(VLOOKUP(Tableau13[[#This Row],[Code]],'Code Véhicule'!$A$4:$C$185,2,0)),"",VLOOKUP(Tableau13[[#This Row],[Code]],'Code Véhicule'!$A$4:$C$185,2,0))</f>
        <v/>
      </c>
      <c r="D258" s="38" t="str">
        <f>IF(ISNA(VLOOKUP(Tableau13[[#This Row],[Code]],'Code Véhicule'!$A$4:$C$185,3,0)),"",VLOOKUP(Tableau13[[#This Row],[Code]],'Code Véhicule'!$A$4:$C$185,3,0))</f>
        <v/>
      </c>
      <c r="E258" s="36" t="str">
        <f>IF(ISNA(VLOOKUP(Tableau13[[#This Row],[Code]],'Code Véhicule'!$A$4:$D$185,4,0))," ",VLOOKUP(Tableau13[[#This Row],[Code]],'Code Véhicule'!$A$4:$D$185,4,0))</f>
        <v xml:space="preserve"> </v>
      </c>
      <c r="F258" s="36">
        <v>23285</v>
      </c>
      <c r="G258" s="38" t="s">
        <v>683</v>
      </c>
      <c r="H258" s="38" t="s">
        <v>683</v>
      </c>
      <c r="I258" s="36" t="s">
        <v>304</v>
      </c>
      <c r="J258" s="36" t="s">
        <v>684</v>
      </c>
      <c r="K258" s="36">
        <v>149454</v>
      </c>
      <c r="L258" s="40">
        <v>1710</v>
      </c>
      <c r="M258" s="36">
        <v>11400</v>
      </c>
      <c r="N258" s="41">
        <v>44061</v>
      </c>
      <c r="O258" s="38"/>
      <c r="P258" s="38"/>
      <c r="Q258" s="176" t="e">
        <f>MONTH([1]!Tableau13[[#This Row],[Date début]])</f>
        <v>#REF!</v>
      </c>
      <c r="R258" s="180" t="e">
        <f>YEAR([1]!Tableau13[[#This Row],[Date début]])</f>
        <v>#REF!</v>
      </c>
    </row>
    <row r="259" spans="1:18" ht="75" customHeight="1">
      <c r="A259" s="35">
        <v>44035</v>
      </c>
      <c r="B259" s="36">
        <v>426</v>
      </c>
      <c r="C259" s="37" t="str">
        <f>IF(ISNA(VLOOKUP(Tableau13[[#This Row],[Code]],'Code Véhicule'!$A$4:$C$185,2,0)),"",VLOOKUP(Tableau13[[#This Row],[Code]],'Code Véhicule'!$A$4:$C$185,2,0))</f>
        <v>Chariot elevateur</v>
      </c>
      <c r="D259" s="38" t="str">
        <f>IF(ISNA(VLOOKUP(Tableau13[[#This Row],[Code]],'Code Véhicule'!$A$4:$C$185,3,0)),"",VLOOKUP(Tableau13[[#This Row],[Code]],'Code Véhicule'!$A$4:$C$185,3,0))</f>
        <v>Manitou MC 30</v>
      </c>
      <c r="E259" s="36" t="str">
        <f>IF(ISNA(VLOOKUP(Tableau13[[#This Row],[Code]],'Code Véhicule'!$A$4:$D$185,4,0))," ",VLOOKUP(Tableau13[[#This Row],[Code]],'Code Véhicule'!$A$4:$D$185,4,0))</f>
        <v>-</v>
      </c>
      <c r="F259" s="36">
        <v>23271</v>
      </c>
      <c r="G259" s="38" t="s">
        <v>455</v>
      </c>
      <c r="H259" s="38" t="s">
        <v>657</v>
      </c>
      <c r="I259" s="36" t="s">
        <v>304</v>
      </c>
      <c r="J259" s="36" t="s">
        <v>710</v>
      </c>
      <c r="K259" s="36" t="s">
        <v>658</v>
      </c>
      <c r="L259" s="40">
        <v>3420</v>
      </c>
      <c r="M259" s="36">
        <v>6270</v>
      </c>
      <c r="N259" s="41">
        <v>44049</v>
      </c>
      <c r="O259" s="38"/>
      <c r="P259" s="38"/>
      <c r="Q259" s="176" t="e">
        <f>MONTH([1]!Tableau13[[#This Row],[Date début]])</f>
        <v>#REF!</v>
      </c>
      <c r="R259" s="180" t="e">
        <f>YEAR([1]!Tableau13[[#This Row],[Date début]])</f>
        <v>#REF!</v>
      </c>
    </row>
    <row r="260" spans="1:18" ht="15.75" customHeight="1">
      <c r="A260" s="35">
        <v>44035</v>
      </c>
      <c r="B260" s="36">
        <v>406</v>
      </c>
      <c r="C260" s="37" t="str">
        <f>IF(ISNA(VLOOKUP(Tableau13[[#This Row],[Code]],'Code Véhicule'!$A$4:$C$185,2,0)),"",VLOOKUP(Tableau13[[#This Row],[Code]],'Code Véhicule'!$A$4:$C$185,2,0))</f>
        <v>Semi remorque</v>
      </c>
      <c r="D260" s="38" t="str">
        <f>IF(ISNA(VLOOKUP(Tableau13[[#This Row],[Code]],'Code Véhicule'!$A$4:$C$185,3,0)),"",VLOOKUP(Tableau13[[#This Row],[Code]],'Code Véhicule'!$A$4:$C$185,3,0))</f>
        <v>VOLVO</v>
      </c>
      <c r="E260" s="36" t="str">
        <f>IF(ISNA(VLOOKUP(Tableau13[[#This Row],[Code]],'Code Véhicule'!$A$4:$D$185,4,0))," ",VLOOKUP(Tableau13[[#This Row],[Code]],'Code Véhicule'!$A$4:$D$185,4,0))</f>
        <v>70352-A-6</v>
      </c>
      <c r="F260" s="36">
        <v>23272</v>
      </c>
      <c r="G260" s="38" t="s">
        <v>313</v>
      </c>
      <c r="H260" s="38" t="s">
        <v>668</v>
      </c>
      <c r="I260" s="36" t="s">
        <v>304</v>
      </c>
      <c r="J260" s="36" t="s">
        <v>669</v>
      </c>
      <c r="K260" s="36">
        <v>148809</v>
      </c>
      <c r="L260" s="40">
        <v>240</v>
      </c>
      <c r="M260" s="36">
        <v>240</v>
      </c>
      <c r="N260" s="41">
        <v>44035</v>
      </c>
      <c r="O260" s="38"/>
      <c r="P260" s="38"/>
      <c r="Q260" s="176" t="e">
        <f>MONTH([1]!Tableau13[[#This Row],[Date début]])</f>
        <v>#REF!</v>
      </c>
      <c r="R260" s="180" t="e">
        <f>YEAR([1]!Tableau13[[#This Row],[Date début]])</f>
        <v>#REF!</v>
      </c>
    </row>
    <row r="261" spans="1:18" ht="45" customHeight="1">
      <c r="A261" s="35">
        <v>44039</v>
      </c>
      <c r="B261" s="36">
        <v>417</v>
      </c>
      <c r="C261" s="37" t="str">
        <f>IF(ISNA(VLOOKUP(Tableau13[[#This Row],[Code]],'Code Véhicule'!$A$4:$C$185,2,0)),"",VLOOKUP(Tableau13[[#This Row],[Code]],'Code Véhicule'!$A$4:$C$185,2,0))</f>
        <v>Voiture de fonction</v>
      </c>
      <c r="D261" s="38" t="str">
        <f>IF(ISNA(VLOOKUP(Tableau13[[#This Row],[Code]],'Code Véhicule'!$A$4:$C$185,3,0)),"",VLOOKUP(Tableau13[[#This Row],[Code]],'Code Véhicule'!$A$4:$C$185,3,0))</f>
        <v>Berlingo</v>
      </c>
      <c r="E261" s="36" t="str">
        <f>IF(ISNA(VLOOKUP(Tableau13[[#This Row],[Code]],'Code Véhicule'!$A$4:$D$185,4,0))," ",VLOOKUP(Tableau13[[#This Row],[Code]],'Code Véhicule'!$A$4:$D$185,4,0))</f>
        <v>981-A-73</v>
      </c>
      <c r="F261" s="36">
        <v>23273</v>
      </c>
      <c r="G261" s="38" t="s">
        <v>393</v>
      </c>
      <c r="H261" s="38" t="s">
        <v>608</v>
      </c>
      <c r="I261" s="36" t="s">
        <v>304</v>
      </c>
      <c r="J261" s="36" t="s">
        <v>670</v>
      </c>
      <c r="K261" s="36">
        <v>148822</v>
      </c>
      <c r="L261" s="40">
        <v>120</v>
      </c>
      <c r="M261" s="36">
        <v>120</v>
      </c>
      <c r="N261" s="41">
        <v>44039</v>
      </c>
      <c r="O261" s="38"/>
      <c r="P261" s="38"/>
      <c r="Q261" s="176" t="e">
        <f>MONTH([1]!Tableau13[[#This Row],[Date début]])</f>
        <v>#REF!</v>
      </c>
      <c r="R261" s="180" t="e">
        <f>YEAR([1]!Tableau13[[#This Row],[Date début]])</f>
        <v>#REF!</v>
      </c>
    </row>
    <row r="262" spans="1:18" ht="30" customHeight="1">
      <c r="A262" s="35">
        <v>44041</v>
      </c>
      <c r="B262" s="36">
        <v>433</v>
      </c>
      <c r="C262" s="37" t="str">
        <f>IF(ISNA(VLOOKUP(Tableau13[[#This Row],[Code]],'Code Véhicule'!$A$4:$C$185,2,0)),"",VLOOKUP(Tableau13[[#This Row],[Code]],'Code Véhicule'!$A$4:$C$185,2,0))</f>
        <v>Voiture de fonction</v>
      </c>
      <c r="D262" s="38" t="str">
        <f>IF(ISNA(VLOOKUP(Tableau13[[#This Row],[Code]],'Code Véhicule'!$A$4:$C$185,3,0)),"",VLOOKUP(Tableau13[[#This Row],[Code]],'Code Véhicule'!$A$4:$C$185,3,0))</f>
        <v>Berlingo</v>
      </c>
      <c r="E262" s="36" t="str">
        <f>IF(ISNA(VLOOKUP(Tableau13[[#This Row],[Code]],'Code Véhicule'!$A$4:$D$185,4,0))," ",VLOOKUP(Tableau13[[#This Row],[Code]],'Code Véhicule'!$A$4:$D$185,4,0))</f>
        <v>10551-A-73</v>
      </c>
      <c r="F262" s="36">
        <v>23274</v>
      </c>
      <c r="G262" s="38" t="s">
        <v>393</v>
      </c>
      <c r="H262" s="38" t="s">
        <v>608</v>
      </c>
      <c r="I262" s="36" t="s">
        <v>304</v>
      </c>
      <c r="J262" s="36" t="s">
        <v>671</v>
      </c>
      <c r="K262" s="36"/>
      <c r="L262" s="40"/>
      <c r="M262" s="36"/>
      <c r="N262" s="36"/>
      <c r="O262" s="38"/>
      <c r="P262" s="38"/>
      <c r="Q262" s="176" t="e">
        <f>MONTH([1]!Tableau13[[#This Row],[Date début]])</f>
        <v>#REF!</v>
      </c>
      <c r="R262" s="180" t="e">
        <f>YEAR([1]!Tableau13[[#This Row],[Date début]])</f>
        <v>#REF!</v>
      </c>
    </row>
    <row r="263" spans="1:18" ht="30" customHeight="1">
      <c r="A263" s="35">
        <v>44050</v>
      </c>
      <c r="B263" s="36">
        <v>429</v>
      </c>
      <c r="C263" s="37" t="str">
        <f>IF(ISNA(VLOOKUP(Tableau13[[#This Row],[Code]],'Code Véhicule'!$A$4:$C$185,2,0)),"",VLOOKUP(Tableau13[[#This Row],[Code]],'Code Véhicule'!$A$4:$C$185,2,0))</f>
        <v>Chariot elevateur</v>
      </c>
      <c r="D263" s="38" t="str">
        <f>IF(ISNA(VLOOKUP(Tableau13[[#This Row],[Code]],'Code Véhicule'!$A$4:$C$185,3,0)),"",VLOOKUP(Tableau13[[#This Row],[Code]],'Code Véhicule'!$A$4:$C$185,3,0))</f>
        <v>Fenwick HD30</v>
      </c>
      <c r="E263" s="36" t="str">
        <f>IF(ISNA(VLOOKUP(Tableau13[[#This Row],[Code]],'Code Véhicule'!$A$4:$D$185,4,0))," ",VLOOKUP(Tableau13[[#This Row],[Code]],'Code Véhicule'!$A$4:$D$185,4,0))</f>
        <v>-</v>
      </c>
      <c r="F263" s="36">
        <v>23275</v>
      </c>
      <c r="G263" s="38" t="s">
        <v>511</v>
      </c>
      <c r="H263" s="38" t="s">
        <v>672</v>
      </c>
      <c r="I263" s="36" t="s">
        <v>304</v>
      </c>
      <c r="J263" s="36" t="s">
        <v>673</v>
      </c>
      <c r="K263" s="36">
        <v>148825</v>
      </c>
      <c r="L263" s="40">
        <v>120</v>
      </c>
      <c r="M263" s="36">
        <v>120</v>
      </c>
      <c r="N263" s="41">
        <v>44050</v>
      </c>
      <c r="O263" s="38"/>
      <c r="P263" s="38"/>
      <c r="Q263" s="176" t="e">
        <f>MONTH([1]!Tableau13[[#This Row],[Date début]])</f>
        <v>#REF!</v>
      </c>
      <c r="R263" s="180" t="e">
        <f>YEAR([1]!Tableau13[[#This Row],[Date début]])</f>
        <v>#REF!</v>
      </c>
    </row>
    <row r="264" spans="1:18" ht="75" customHeight="1">
      <c r="A264" s="35">
        <v>44050</v>
      </c>
      <c r="B264" s="36">
        <v>401</v>
      </c>
      <c r="C264" s="37" t="str">
        <f>IF(ISNA(VLOOKUP(Tableau13[[#This Row],[Code]],'Code Véhicule'!$A$4:$C$185,2,0)),"",VLOOKUP(Tableau13[[#This Row],[Code]],'Code Véhicule'!$A$4:$C$185,2,0))</f>
        <v>Camion</v>
      </c>
      <c r="D264" s="38" t="str">
        <f>IF(ISNA(VLOOKUP(Tableau13[[#This Row],[Code]],'Code Véhicule'!$A$4:$C$185,3,0)),"",VLOOKUP(Tableau13[[#This Row],[Code]],'Code Véhicule'!$A$4:$C$185,3,0))</f>
        <v>ISUZU</v>
      </c>
      <c r="E264" s="36" t="str">
        <f>IF(ISNA(VLOOKUP(Tableau13[[#This Row],[Code]],'Code Véhicule'!$A$4:$D$185,4,0))," ",VLOOKUP(Tableau13[[#This Row],[Code]],'Code Véhicule'!$A$4:$D$185,4,0))</f>
        <v>26128-A-8</v>
      </c>
      <c r="F264" s="36">
        <v>23293</v>
      </c>
      <c r="G264" s="38" t="s">
        <v>397</v>
      </c>
      <c r="H264" s="38" t="s">
        <v>625</v>
      </c>
      <c r="I264" s="36" t="s">
        <v>304</v>
      </c>
      <c r="J264" s="36" t="s">
        <v>709</v>
      </c>
      <c r="K264" s="36" t="s">
        <v>695</v>
      </c>
      <c r="L264" s="40">
        <v>3990</v>
      </c>
      <c r="M264" s="36">
        <v>11400</v>
      </c>
      <c r="N264" s="41">
        <v>44072</v>
      </c>
      <c r="O264" s="38"/>
      <c r="P264" s="38"/>
      <c r="Q264" s="176" t="e">
        <f>MONTH([1]!Tableau13[[#This Row],[Date début]])</f>
        <v>#REF!</v>
      </c>
      <c r="R264" s="180" t="e">
        <f>YEAR([1]!Tableau13[[#This Row],[Date début]])</f>
        <v>#REF!</v>
      </c>
    </row>
    <row r="265" spans="1:18" ht="30" customHeight="1">
      <c r="A265" s="35">
        <v>44053</v>
      </c>
      <c r="B265" s="36">
        <v>407</v>
      </c>
      <c r="C265" s="37" t="str">
        <f>IF(ISNA(VLOOKUP(Tableau13[[#This Row],[Code]],'Code Véhicule'!$A$4:$C$185,2,0)),"",VLOOKUP(Tableau13[[#This Row],[Code]],'Code Véhicule'!$A$4:$C$185,2,0))</f>
        <v>Semi remorque</v>
      </c>
      <c r="D265" s="38" t="str">
        <f>IF(ISNA(VLOOKUP(Tableau13[[#This Row],[Code]],'Code Véhicule'!$A$4:$C$185,3,0)),"",VLOOKUP(Tableau13[[#This Row],[Code]],'Code Véhicule'!$A$4:$C$185,3,0))</f>
        <v>MAN</v>
      </c>
      <c r="E265" s="36" t="str">
        <f>IF(ISNA(VLOOKUP(Tableau13[[#This Row],[Code]],'Code Véhicule'!$A$4:$D$185,4,0))," ",VLOOKUP(Tableau13[[#This Row],[Code]],'Code Véhicule'!$A$4:$D$185,4,0))</f>
        <v>706-A-73</v>
      </c>
      <c r="F265" s="36">
        <v>23276</v>
      </c>
      <c r="G265" s="38" t="s">
        <v>545</v>
      </c>
      <c r="H265" s="38" t="s">
        <v>674</v>
      </c>
      <c r="I265" s="36" t="s">
        <v>304</v>
      </c>
      <c r="J265" s="36" t="s">
        <v>566</v>
      </c>
      <c r="K265" s="36">
        <v>148827</v>
      </c>
      <c r="L265" s="40">
        <v>240</v>
      </c>
      <c r="M265" s="36">
        <v>240</v>
      </c>
      <c r="N265" s="41">
        <v>44053</v>
      </c>
      <c r="O265" s="38"/>
      <c r="P265" s="38"/>
      <c r="Q265" s="176" t="e">
        <f>MONTH([1]!Tableau13[[#This Row],[Date début]])</f>
        <v>#REF!</v>
      </c>
      <c r="R265" s="180" t="e">
        <f>YEAR([1]!Tableau13[[#This Row],[Date début]])</f>
        <v>#REF!</v>
      </c>
    </row>
    <row r="266" spans="1:18" ht="15.75" customHeight="1">
      <c r="A266" s="35">
        <v>44053</v>
      </c>
      <c r="B266" s="36">
        <v>434</v>
      </c>
      <c r="C266" s="37" t="str">
        <f>IF(ISNA(VLOOKUP(Tableau13[[#This Row],[Code]],'Code Véhicule'!$A$4:$C$185,2,0)),"",VLOOKUP(Tableau13[[#This Row],[Code]],'Code Véhicule'!$A$4:$C$185,2,0))</f>
        <v>Chariot elevateur</v>
      </c>
      <c r="D266" s="38" t="str">
        <f>IF(ISNA(VLOOKUP(Tableau13[[#This Row],[Code]],'Code Véhicule'!$A$4:$C$185,3,0)),"",VLOOKUP(Tableau13[[#This Row],[Code]],'Code Véhicule'!$A$4:$C$185,3,0))</f>
        <v>Linde H30D</v>
      </c>
      <c r="E266" s="36" t="str">
        <f>IF(ISNA(VLOOKUP(Tableau13[[#This Row],[Code]],'Code Véhicule'!$A$4:$D$185,4,0))," ",VLOOKUP(Tableau13[[#This Row],[Code]],'Code Véhicule'!$A$4:$D$185,4,0))</f>
        <v>-</v>
      </c>
      <c r="F266" s="36">
        <v>23277</v>
      </c>
      <c r="G266" s="38" t="s">
        <v>393</v>
      </c>
      <c r="H266" s="38" t="s">
        <v>613</v>
      </c>
      <c r="I266" s="36" t="s">
        <v>304</v>
      </c>
      <c r="J266" s="36" t="s">
        <v>675</v>
      </c>
      <c r="K266" s="36">
        <v>148829</v>
      </c>
      <c r="L266" s="40">
        <v>30</v>
      </c>
      <c r="M266" s="36">
        <v>30</v>
      </c>
      <c r="N266" s="41">
        <v>44053</v>
      </c>
      <c r="O266" s="38"/>
      <c r="P266" s="38"/>
      <c r="Q266" s="176" t="e">
        <f>MONTH([1]!Tableau13[[#This Row],[Date début]])</f>
        <v>#REF!</v>
      </c>
      <c r="R266" s="180" t="e">
        <f>YEAR([1]!Tableau13[[#This Row],[Date début]])</f>
        <v>#REF!</v>
      </c>
    </row>
    <row r="267" spans="1:18" ht="225" customHeight="1">
      <c r="A267" s="35">
        <v>44053</v>
      </c>
      <c r="B267" s="36">
        <v>408</v>
      </c>
      <c r="C267" s="37" t="str">
        <f>IF(ISNA(VLOOKUP(Tableau13[[#This Row],[Code]],'Code Véhicule'!$A$4:$C$41,2,TRUE)),"",(VLOOKUP(Tableau13[[#This Row],[Code]],'Code Véhicule'!$A$4:$C$41,2,TRUE)))</f>
        <v>Camion</v>
      </c>
      <c r="D267" s="38" t="str">
        <f>IF(ISNA(VLOOKUP(Tableau13[[#This Row],[Code]],'Code Véhicule'!$A$4:$C$185,3,0)),"",VLOOKUP(Tableau13[[#This Row],[Code]],'Code Véhicule'!$A$4:$C$185,3,0))</f>
        <v>Mitsubishi</v>
      </c>
      <c r="E267" s="36" t="str">
        <f>IF(ISNA(VLOOKUP(Tableau13[[#This Row],[Code]],'Code Véhicule'!$A$4:$D$185,4,0))," ",VLOOKUP(Tableau13[[#This Row],[Code]],'Code Véhicule'!$A$4:$D$185,4,0))</f>
        <v>4703-A-73</v>
      </c>
      <c r="F267" s="36">
        <v>23311</v>
      </c>
      <c r="G267" s="38" t="s">
        <v>545</v>
      </c>
      <c r="H267" s="38" t="s">
        <v>620</v>
      </c>
      <c r="I267" s="36" t="s">
        <v>304</v>
      </c>
      <c r="J267" s="36" t="s">
        <v>719</v>
      </c>
      <c r="K267" s="36" t="s">
        <v>720</v>
      </c>
      <c r="L267" s="40">
        <v>14250</v>
      </c>
      <c r="M267" s="36">
        <v>22800</v>
      </c>
      <c r="N267" s="41">
        <v>44100</v>
      </c>
      <c r="O267" s="38"/>
      <c r="P267" s="38"/>
      <c r="Q267" s="176" t="e">
        <f>MONTH([1]!Tableau13[[#This Row],[Date début]])</f>
        <v>#REF!</v>
      </c>
      <c r="R267" s="180" t="e">
        <f>YEAR([1]!Tableau13[[#This Row],[Date début]])</f>
        <v>#REF!</v>
      </c>
    </row>
    <row r="268" spans="1:18" ht="30" customHeight="1">
      <c r="A268" s="35">
        <v>44054</v>
      </c>
      <c r="B268" s="36">
        <v>436</v>
      </c>
      <c r="C268" s="37" t="str">
        <f>IF(ISNA(VLOOKUP(Tableau13[[#This Row],[Code]],'Code Véhicule'!$A$4:$C$185,2,0)),"",VLOOKUP(Tableau13[[#This Row],[Code]],'Code Véhicule'!$A$4:$C$185,2,0))</f>
        <v>Camion</v>
      </c>
      <c r="D268" s="38" t="str">
        <f>IF(ISNA(VLOOKUP(Tableau13[[#This Row],[Code]],'Code Véhicule'!$A$4:$C$185,3,0)),"",VLOOKUP(Tableau13[[#This Row],[Code]],'Code Véhicule'!$A$4:$C$185,3,0))</f>
        <v>Mitsubishi</v>
      </c>
      <c r="E268" s="36" t="str">
        <f>IF(ISNA(VLOOKUP(Tableau13[[#This Row],[Code]],'Code Véhicule'!$A$4:$D$185,4,0))," ",VLOOKUP(Tableau13[[#This Row],[Code]],'Code Véhicule'!$A$4:$D$185,4,0))</f>
        <v>11470-A-73</v>
      </c>
      <c r="F268" s="36">
        <v>23278</v>
      </c>
      <c r="G268" s="38" t="s">
        <v>525</v>
      </c>
      <c r="H268" s="38" t="s">
        <v>604</v>
      </c>
      <c r="I268" s="36" t="s">
        <v>304</v>
      </c>
      <c r="J268" s="36" t="s">
        <v>347</v>
      </c>
      <c r="K268" s="36" t="s">
        <v>676</v>
      </c>
      <c r="L268" s="40">
        <v>60</v>
      </c>
      <c r="M268" s="36">
        <v>60</v>
      </c>
      <c r="N268" s="41">
        <v>44054</v>
      </c>
      <c r="O268" s="38"/>
      <c r="P268" s="38"/>
      <c r="Q268" s="176" t="e">
        <f>MONTH([1]!Tableau13[[#This Row],[Date début]])</f>
        <v>#REF!</v>
      </c>
      <c r="R268" s="180" t="e">
        <f>YEAR([1]!Tableau13[[#This Row],[Date début]])</f>
        <v>#REF!</v>
      </c>
    </row>
    <row r="269" spans="1:18" ht="45" customHeight="1">
      <c r="A269" s="35">
        <v>44054</v>
      </c>
      <c r="B269" s="36">
        <v>422</v>
      </c>
      <c r="C269" s="37" t="str">
        <f>IF(ISNA(VLOOKUP(Tableau13[[#This Row],[Code]],'Code Véhicule'!$A$4:$C$185,2,0)),"",VLOOKUP(Tableau13[[#This Row],[Code]],'Code Véhicule'!$A$4:$C$185,2,0))</f>
        <v>Chariot elevateur</v>
      </c>
      <c r="D269" s="38" t="str">
        <f>IF(ISNA(VLOOKUP(Tableau13[[#This Row],[Code]],'Code Véhicule'!$A$4:$C$185,3,0)),"",VLOOKUP(Tableau13[[#This Row],[Code]],'Code Véhicule'!$A$4:$C$185,3,0))</f>
        <v>Fenwick LINDE 25</v>
      </c>
      <c r="E269" s="36" t="str">
        <f>IF(ISNA(VLOOKUP(Tableau13[[#This Row],[Code]],'Code Véhicule'!$A$4:$D$185,4,0))," ",VLOOKUP(Tableau13[[#This Row],[Code]],'Code Véhicule'!$A$4:$D$185,4,0))</f>
        <v>-</v>
      </c>
      <c r="F269" s="36">
        <v>23288</v>
      </c>
      <c r="G269" s="38" t="s">
        <v>508</v>
      </c>
      <c r="H269" s="38" t="s">
        <v>635</v>
      </c>
      <c r="I269" s="36" t="s">
        <v>322</v>
      </c>
      <c r="J269" s="36" t="s">
        <v>689</v>
      </c>
      <c r="K269" s="36">
        <v>149462</v>
      </c>
      <c r="L269" s="40">
        <v>1710</v>
      </c>
      <c r="M269" s="36">
        <v>6270</v>
      </c>
      <c r="N269" s="41">
        <v>44066</v>
      </c>
      <c r="O269" s="38"/>
      <c r="P269" s="38"/>
      <c r="Q269" s="176" t="e">
        <f>MONTH([1]!Tableau13[[#This Row],[Date début]])</f>
        <v>#REF!</v>
      </c>
      <c r="R269" s="180" t="e">
        <f>YEAR([1]!Tableau13[[#This Row],[Date début]])</f>
        <v>#REF!</v>
      </c>
    </row>
    <row r="270" spans="1:18" ht="15.75" customHeight="1">
      <c r="A270" s="35">
        <v>44058</v>
      </c>
      <c r="B270" s="36">
        <v>431</v>
      </c>
      <c r="C270" s="37" t="str">
        <f>IF(ISNA(VLOOKUP(Tableau13[[#This Row],[Code]],'Code Véhicule'!$A$4:$C$185,2,0)),"",VLOOKUP(Tableau13[[#This Row],[Code]],'Code Véhicule'!$A$4:$C$185,2,0))</f>
        <v>Chariot elevateur</v>
      </c>
      <c r="D270" s="38" t="str">
        <f>IF(ISNA(VLOOKUP(Tableau13[[#This Row],[Code]],'Code Véhicule'!$A$4:$C$185,3,0)),"",VLOOKUP(Tableau13[[#This Row],[Code]],'Code Véhicule'!$A$4:$C$185,3,0))</f>
        <v>Manitou M26-2</v>
      </c>
      <c r="E270" s="36" t="str">
        <f>IF(ISNA(VLOOKUP(Tableau13[[#This Row],[Code]],'Code Véhicule'!$A$4:$D$185,4,0))," ",VLOOKUP(Tableau13[[#This Row],[Code]],'Code Véhicule'!$A$4:$D$185,4,0))</f>
        <v>-</v>
      </c>
      <c r="F270" s="36">
        <v>23280</v>
      </c>
      <c r="G270" s="38" t="s">
        <v>508</v>
      </c>
      <c r="H270" s="38" t="s">
        <v>677</v>
      </c>
      <c r="I270" s="36" t="s">
        <v>304</v>
      </c>
      <c r="J270" s="36" t="s">
        <v>678</v>
      </c>
      <c r="K270" s="36">
        <v>148838</v>
      </c>
      <c r="L270" s="40">
        <v>570</v>
      </c>
      <c r="M270" s="36">
        <v>570</v>
      </c>
      <c r="N270" s="41">
        <v>44059</v>
      </c>
      <c r="O270" s="38"/>
      <c r="P270" s="38"/>
      <c r="Q270" s="176" t="e">
        <f>MONTH([1]!Tableau13[[#This Row],[Date début]])</f>
        <v>#REF!</v>
      </c>
      <c r="R270" s="180" t="e">
        <f>YEAR([1]!Tableau13[[#This Row],[Date début]])</f>
        <v>#REF!</v>
      </c>
    </row>
    <row r="271" spans="1:18" ht="30" customHeight="1">
      <c r="A271" s="35">
        <v>44060</v>
      </c>
      <c r="B271" s="36">
        <v>435</v>
      </c>
      <c r="C271" s="37"/>
      <c r="D271" s="38" t="str">
        <f>IF(ISNA(VLOOKUP(Tableau13[[#This Row],[Code]],'Code Véhicule'!$A$4:$C$185,3,0)),"",VLOOKUP(Tableau13[[#This Row],[Code]],'Code Véhicule'!$A$4:$C$185,3,0))</f>
        <v>Mitsubishi</v>
      </c>
      <c r="E271" s="36" t="str">
        <f>IF(ISNA(VLOOKUP(Tableau13[[#This Row],[Code]],'Code Véhicule'!$A$4:$D$185,4,0))," ",VLOOKUP(Tableau13[[#This Row],[Code]],'Code Véhicule'!$A$4:$D$185,4,0))</f>
        <v xml:space="preserve"> 11469-A-73</v>
      </c>
      <c r="F271" s="36">
        <v>23263</v>
      </c>
      <c r="G271" s="38" t="s">
        <v>393</v>
      </c>
      <c r="H271" s="38" t="s">
        <v>608</v>
      </c>
      <c r="I271" s="36" t="s">
        <v>504</v>
      </c>
      <c r="J271" s="36" t="s">
        <v>647</v>
      </c>
      <c r="K271" s="36">
        <v>146889</v>
      </c>
      <c r="L271" s="40">
        <v>570</v>
      </c>
      <c r="M271" s="40">
        <v>570</v>
      </c>
      <c r="N271" s="41">
        <v>44061</v>
      </c>
      <c r="O271" s="45"/>
      <c r="P271" s="45"/>
      <c r="Q271" s="176" t="e">
        <f>MONTH([1]!Tableau13[[#This Row],[Date début]])</f>
        <v>#REF!</v>
      </c>
      <c r="R271" s="180" t="e">
        <f>YEAR([1]!Tableau13[[#This Row],[Date début]])</f>
        <v>#REF!</v>
      </c>
    </row>
    <row r="272" spans="1:18" ht="45" customHeight="1">
      <c r="A272" s="35">
        <v>44060</v>
      </c>
      <c r="B272" s="36">
        <v>435</v>
      </c>
      <c r="C272" s="37" t="str">
        <f>IF(ISNA(VLOOKUP(Tableau13[[#This Row],[Code]],'Code Véhicule'!$A$4:$C$185,2,0)),"",VLOOKUP(Tableau13[[#This Row],[Code]],'Code Véhicule'!$A$4:$C$185,2,0))</f>
        <v>Camion</v>
      </c>
      <c r="D272" s="38" t="str">
        <f>IF(ISNA(VLOOKUP(Tableau13[[#This Row],[Code]],'Code Véhicule'!$A$4:$C$185,3,0)),"",VLOOKUP(Tableau13[[#This Row],[Code]],'Code Véhicule'!$A$4:$C$185,3,0))</f>
        <v>Mitsubishi</v>
      </c>
      <c r="E272" s="36" t="str">
        <f>IF(ISNA(VLOOKUP(Tableau13[[#This Row],[Code]],'Code Véhicule'!$A$4:$D$185,4,0))," ",VLOOKUP(Tableau13[[#This Row],[Code]],'Code Véhicule'!$A$4:$D$185,4,0))</f>
        <v xml:space="preserve"> 11469-A-73</v>
      </c>
      <c r="F272" s="36">
        <v>23281</v>
      </c>
      <c r="G272" s="38" t="s">
        <v>393</v>
      </c>
      <c r="H272" s="38" t="s">
        <v>608</v>
      </c>
      <c r="I272" s="36" t="s">
        <v>304</v>
      </c>
      <c r="J272" s="36" t="s">
        <v>679</v>
      </c>
      <c r="K272" s="36">
        <v>148843</v>
      </c>
      <c r="L272" s="40">
        <v>180</v>
      </c>
      <c r="M272" s="36">
        <v>180</v>
      </c>
      <c r="N272" s="41">
        <v>44060</v>
      </c>
      <c r="O272" s="38"/>
      <c r="P272" s="38"/>
      <c r="Q272" s="176" t="e">
        <f>MONTH([1]!Tableau13[[#This Row],[Date début]])</f>
        <v>#REF!</v>
      </c>
      <c r="R272" s="180" t="e">
        <f>YEAR([1]!Tableau13[[#This Row],[Date début]])</f>
        <v>#REF!</v>
      </c>
    </row>
    <row r="273" spans="1:18" ht="15.75" customHeight="1">
      <c r="A273" s="35">
        <v>44060</v>
      </c>
      <c r="B273" s="36">
        <v>411</v>
      </c>
      <c r="C273" s="37" t="str">
        <f>IF(ISNA(VLOOKUP(Tableau13[[#This Row],[Code]],'Code Véhicule'!$A$4:$C$185,2,0)),"",VLOOKUP(Tableau13[[#This Row],[Code]],'Code Véhicule'!$A$4:$C$185,2,0))</f>
        <v>Camion</v>
      </c>
      <c r="D273" s="38" t="str">
        <f>IF(ISNA(VLOOKUP(Tableau13[[#This Row],[Code]],'Code Véhicule'!$A$4:$C$185,3,0)),"",VLOOKUP(Tableau13[[#This Row],[Code]],'Code Véhicule'!$A$4:$C$185,3,0))</f>
        <v>Renault</v>
      </c>
      <c r="E273" s="36" t="str">
        <f>IF(ISNA(VLOOKUP(Tableau13[[#This Row],[Code]],'Code Véhicule'!$A$4:$D$185,4,0))," ",VLOOKUP(Tableau13[[#This Row],[Code]],'Code Véhicule'!$A$4:$D$185,4,0))</f>
        <v>25636-A-13</v>
      </c>
      <c r="F273" s="36">
        <v>23282</v>
      </c>
      <c r="G273" s="38" t="s">
        <v>525</v>
      </c>
      <c r="H273" s="38" t="s">
        <v>622</v>
      </c>
      <c r="I273" s="36" t="s">
        <v>304</v>
      </c>
      <c r="J273" s="36" t="s">
        <v>372</v>
      </c>
      <c r="K273" s="36">
        <v>148844</v>
      </c>
      <c r="L273" s="40">
        <v>60</v>
      </c>
      <c r="M273" s="36">
        <v>60</v>
      </c>
      <c r="N273" s="41">
        <v>44060</v>
      </c>
      <c r="O273" s="38"/>
      <c r="P273" s="38"/>
      <c r="Q273" s="176" t="e">
        <f>MONTH([1]!Tableau13[[#This Row],[Date début]])</f>
        <v>#REF!</v>
      </c>
      <c r="R273" s="180" t="e">
        <f>YEAR([1]!Tableau13[[#This Row],[Date début]])</f>
        <v>#REF!</v>
      </c>
    </row>
    <row r="274" spans="1:18" ht="15.75" customHeight="1">
      <c r="A274" s="35">
        <v>44060</v>
      </c>
      <c r="B274" s="36">
        <v>438</v>
      </c>
      <c r="C274" s="37" t="str">
        <f>IF(ISNA(VLOOKUP(Tableau13[[#This Row],[Code]],'Code Véhicule'!$A$4:$C$185,2,0)),"",VLOOKUP(Tableau13[[#This Row],[Code]],'Code Véhicule'!$A$4:$C$185,2,0))</f>
        <v>Semi remorque</v>
      </c>
      <c r="D274" s="38" t="str">
        <f>IF(ISNA(VLOOKUP(Tableau13[[#This Row],[Code]],'Code Véhicule'!$A$4:$C$185,3,0)),"",VLOOKUP(Tableau13[[#This Row],[Code]],'Code Véhicule'!$A$4:$C$185,3,0))</f>
        <v>VOLVO</v>
      </c>
      <c r="E274" s="36" t="str">
        <f>IF(ISNA(VLOOKUP(Tableau13[[#This Row],[Code]],'Code Véhicule'!$A$4:$D$185,4,0))," ",VLOOKUP(Tableau13[[#This Row],[Code]],'Code Véhicule'!$A$4:$D$185,4,0))</f>
        <v xml:space="preserve">17885-A-73 </v>
      </c>
      <c r="F274" s="36">
        <v>23283</v>
      </c>
      <c r="G274" s="38" t="s">
        <v>525</v>
      </c>
      <c r="H274" s="38" t="s">
        <v>622</v>
      </c>
      <c r="I274" s="36" t="s">
        <v>304</v>
      </c>
      <c r="J274" s="36" t="s">
        <v>372</v>
      </c>
      <c r="K274" s="36">
        <v>148845</v>
      </c>
      <c r="L274" s="40">
        <v>120</v>
      </c>
      <c r="M274" s="36">
        <v>120</v>
      </c>
      <c r="N274" s="41">
        <v>44060</v>
      </c>
      <c r="O274" s="38"/>
      <c r="P274" s="38"/>
      <c r="Q274" s="176" t="e">
        <f>MONTH([1]!Tableau13[[#This Row],[Date début]])</f>
        <v>#REF!</v>
      </c>
      <c r="R274" s="180" t="e">
        <f>YEAR([1]!Tableau13[[#This Row],[Date début]])</f>
        <v>#REF!</v>
      </c>
    </row>
    <row r="275" spans="1:18" ht="30" customHeight="1">
      <c r="A275" s="35">
        <v>44060</v>
      </c>
      <c r="B275" s="36">
        <v>407</v>
      </c>
      <c r="C275" s="37" t="str">
        <f>IF(ISNA(VLOOKUP(Tableau13[[#This Row],[Code]],'Code Véhicule'!$A$4:$C$185,2,0)),"",VLOOKUP(Tableau13[[#This Row],[Code]],'Code Véhicule'!$A$4:$C$185,2,0))</f>
        <v>Semi remorque</v>
      </c>
      <c r="D275" s="38" t="str">
        <f>IF(ISNA(VLOOKUP(Tableau13[[#This Row],[Code]],'Code Véhicule'!$A$4:$C$185,3,0)),"",VLOOKUP(Tableau13[[#This Row],[Code]],'Code Véhicule'!$A$4:$C$185,3,0))</f>
        <v>MAN</v>
      </c>
      <c r="E275" s="36" t="str">
        <f>IF(ISNA(VLOOKUP(Tableau13[[#This Row],[Code]],'Code Véhicule'!$A$4:$D$185,4,0))," ",VLOOKUP(Tableau13[[#This Row],[Code]],'Code Véhicule'!$A$4:$D$185,4,0))</f>
        <v>706-A-73</v>
      </c>
      <c r="F275" s="36">
        <v>23284</v>
      </c>
      <c r="G275" s="38" t="s">
        <v>537</v>
      </c>
      <c r="H275" s="38" t="s">
        <v>680</v>
      </c>
      <c r="I275" s="36" t="s">
        <v>304</v>
      </c>
      <c r="J275" s="36" t="s">
        <v>681</v>
      </c>
      <c r="K275" s="36" t="s">
        <v>682</v>
      </c>
      <c r="L275" s="40">
        <v>1140</v>
      </c>
      <c r="M275" s="36">
        <v>3420</v>
      </c>
      <c r="N275" s="41">
        <v>44065</v>
      </c>
      <c r="O275" s="38"/>
      <c r="P275" s="38"/>
      <c r="Q275" s="176" t="e">
        <f>MONTH([1]!Tableau13[[#This Row],[Date début]])</f>
        <v>#REF!</v>
      </c>
      <c r="R275" s="180" t="e">
        <f>YEAR([1]!Tableau13[[#This Row],[Date début]])</f>
        <v>#REF!</v>
      </c>
    </row>
    <row r="276" spans="1:18" ht="15.75" customHeight="1">
      <c r="A276" s="35">
        <v>44060</v>
      </c>
      <c r="B276" s="36">
        <v>427</v>
      </c>
      <c r="C276" s="37" t="str">
        <f>IF(ISNA(VLOOKUP(Tableau13[[#This Row],[Code]],'Code Véhicule'!$A$4:$C$185,2,0)),"",VLOOKUP(Tableau13[[#This Row],[Code]],'Code Véhicule'!$A$4:$C$185,2,0))</f>
        <v>Chariot elevateur</v>
      </c>
      <c r="D276" s="38" t="str">
        <f>IF(ISNA(VLOOKUP(Tableau13[[#This Row],[Code]],'Code Véhicule'!$A$4:$C$185,3,0)),"",VLOOKUP(Tableau13[[#This Row],[Code]],'Code Véhicule'!$A$4:$C$185,3,0))</f>
        <v>Linde H30</v>
      </c>
      <c r="E276" s="36" t="str">
        <f>IF(ISNA(VLOOKUP(Tableau13[[#This Row],[Code]],'Code Véhicule'!$A$4:$D$185,4,0))," ",VLOOKUP(Tableau13[[#This Row],[Code]],'Code Véhicule'!$A$4:$D$185,4,0))</f>
        <v>-</v>
      </c>
      <c r="F276" s="36">
        <v>23287</v>
      </c>
      <c r="G276" s="38" t="s">
        <v>511</v>
      </c>
      <c r="H276" s="38" t="s">
        <v>687</v>
      </c>
      <c r="I276" s="36" t="s">
        <v>304</v>
      </c>
      <c r="J276" s="36" t="s">
        <v>688</v>
      </c>
      <c r="K276" s="36">
        <v>149461</v>
      </c>
      <c r="L276" s="40">
        <v>570</v>
      </c>
      <c r="M276" s="36">
        <v>2280</v>
      </c>
      <c r="N276" s="41">
        <v>44065</v>
      </c>
      <c r="O276" s="38"/>
      <c r="P276" s="38"/>
      <c r="Q276" s="176" t="e">
        <f>MONTH([1]!Tableau13[[#This Row],[Date début]])</f>
        <v>#REF!</v>
      </c>
      <c r="R276" s="180" t="e">
        <f>YEAR([1]!Tableau13[[#This Row],[Date début]])</f>
        <v>#REF!</v>
      </c>
    </row>
    <row r="277" spans="1:18" ht="30" customHeight="1">
      <c r="A277" s="35">
        <v>44060</v>
      </c>
      <c r="B277" s="36">
        <v>426</v>
      </c>
      <c r="C277" s="37" t="str">
        <f>IF(ISNA(VLOOKUP(Tableau13[[#This Row],[Code]],'Code Véhicule'!$A$4:$C$185,2,0)),"",VLOOKUP(Tableau13[[#This Row],[Code]],'Code Véhicule'!$A$4:$C$185,2,0))</f>
        <v>Chariot elevateur</v>
      </c>
      <c r="D277" s="38" t="str">
        <f>IF(ISNA(VLOOKUP(Tableau13[[#This Row],[Code]],'Code Véhicule'!$A$4:$C$185,3,0)),"",VLOOKUP(Tableau13[[#This Row],[Code]],'Code Véhicule'!$A$4:$C$185,3,0))</f>
        <v>Manitou MC 30</v>
      </c>
      <c r="E277" s="36" t="str">
        <f>IF(ISNA(VLOOKUP(Tableau13[[#This Row],[Code]],'Code Véhicule'!$A$4:$D$185,4,0))," ",VLOOKUP(Tableau13[[#This Row],[Code]],'Code Véhicule'!$A$4:$D$185,4,0))</f>
        <v>-</v>
      </c>
      <c r="F277" s="36">
        <v>23297</v>
      </c>
      <c r="G277" s="38" t="s">
        <v>700</v>
      </c>
      <c r="H277" s="38" t="s">
        <v>701</v>
      </c>
      <c r="I277" s="36" t="s">
        <v>304</v>
      </c>
      <c r="J277" s="36" t="s">
        <v>702</v>
      </c>
      <c r="K277" s="36">
        <v>149480</v>
      </c>
      <c r="L277" s="40">
        <v>180</v>
      </c>
      <c r="M277" s="36">
        <v>1470</v>
      </c>
      <c r="N277" s="41">
        <v>44062</v>
      </c>
      <c r="O277" s="38"/>
      <c r="P277" s="38"/>
      <c r="Q277" s="176" t="e">
        <f>MONTH([1]!Tableau13[[#This Row],[Date début]])</f>
        <v>#REF!</v>
      </c>
      <c r="R277" s="180" t="e">
        <f>YEAR([1]!Tableau13[[#This Row],[Date début]])</f>
        <v>#REF!</v>
      </c>
    </row>
    <row r="278" spans="1:18" ht="15.75" customHeight="1">
      <c r="A278" s="35">
        <v>44061</v>
      </c>
      <c r="B278" s="36">
        <v>481</v>
      </c>
      <c r="C278" s="37" t="str">
        <f>IF(ISNA(VLOOKUP(Tableau13[[#This Row],[Code]],'Code Véhicule'!$A$4:$C$185,2,0)),"",VLOOKUP(Tableau13[[#This Row],[Code]],'Code Véhicule'!$A$4:$C$185,2,0))</f>
        <v>Camion</v>
      </c>
      <c r="D278" s="38" t="str">
        <f>IF(ISNA(VLOOKUP(Tableau13[[#This Row],[Code]],'Code Véhicule'!$A$4:$C$185,3,0)),"",VLOOKUP(Tableau13[[#This Row],[Code]],'Code Véhicule'!$A$4:$C$185,3,0))</f>
        <v>VOLVO</v>
      </c>
      <c r="E278" s="36" t="str">
        <f>IF(ISNA(VLOOKUP(Tableau13[[#This Row],[Code]],'Code Véhicule'!$A$4:$D$185,4,0))," ",VLOOKUP(Tableau13[[#This Row],[Code]],'Code Véhicule'!$A$4:$D$185,4,0))</f>
        <v>22300-A-73</v>
      </c>
      <c r="F278" s="36">
        <v>23295</v>
      </c>
      <c r="G278" s="38" t="s">
        <v>525</v>
      </c>
      <c r="H278" s="38" t="s">
        <v>622</v>
      </c>
      <c r="I278" s="36" t="s">
        <v>304</v>
      </c>
      <c r="J278" s="36" t="s">
        <v>372</v>
      </c>
      <c r="K278" s="36">
        <v>149478</v>
      </c>
      <c r="L278" s="40">
        <v>60</v>
      </c>
      <c r="M278" s="36">
        <v>60</v>
      </c>
      <c r="N278" s="41">
        <v>44061</v>
      </c>
      <c r="O278" s="38"/>
      <c r="P278" s="38"/>
      <c r="Q278" s="176" t="e">
        <f>MONTH([1]!Tableau13[[#This Row],[Date début]])</f>
        <v>#REF!</v>
      </c>
      <c r="R278" s="180" t="e">
        <f>YEAR([1]!Tableau13[[#This Row],[Date début]])</f>
        <v>#REF!</v>
      </c>
    </row>
    <row r="279" spans="1:18" ht="30" customHeight="1">
      <c r="A279" s="35">
        <v>44064</v>
      </c>
      <c r="B279" s="36">
        <v>435</v>
      </c>
      <c r="C279" s="37" t="str">
        <f>IF(ISNA(VLOOKUP(Tableau13[[#This Row],[Code]],'Code Véhicule'!$A$4:$C$185,2,0)),"",VLOOKUP(Tableau13[[#This Row],[Code]],'Code Véhicule'!$A$4:$C$185,2,0))</f>
        <v>Camion</v>
      </c>
      <c r="D279" s="38" t="str">
        <f>IF(ISNA(VLOOKUP(Tableau13[[#This Row],[Code]],'Code Véhicule'!$A$4:$C$185,3,0)),"",VLOOKUP(Tableau13[[#This Row],[Code]],'Code Véhicule'!$A$4:$C$185,3,0))</f>
        <v>Mitsubishi</v>
      </c>
      <c r="E279" s="36" t="str">
        <f>IF(ISNA(VLOOKUP(Tableau13[[#This Row],[Code]],'Code Véhicule'!$A$4:$D$185,4,0))," ",VLOOKUP(Tableau13[[#This Row],[Code]],'Code Véhicule'!$A$4:$D$185,4,0))</f>
        <v xml:space="preserve"> 11469-A-73</v>
      </c>
      <c r="F279" s="36">
        <v>23265</v>
      </c>
      <c r="G279" s="38" t="s">
        <v>525</v>
      </c>
      <c r="H279" s="38" t="s">
        <v>622</v>
      </c>
      <c r="I279" s="36" t="s">
        <v>304</v>
      </c>
      <c r="J279" s="36" t="s">
        <v>648</v>
      </c>
      <c r="K279" s="36">
        <v>148801</v>
      </c>
      <c r="L279" s="40">
        <v>120</v>
      </c>
      <c r="M279" s="40">
        <v>120</v>
      </c>
      <c r="N279" s="41">
        <v>44064</v>
      </c>
      <c r="O279" s="45"/>
      <c r="P279" s="45"/>
      <c r="Q279" s="176" t="e">
        <f>MONTH([1]!Tableau13[[#This Row],[Date début]])</f>
        <v>#REF!</v>
      </c>
      <c r="R279" s="180" t="e">
        <f>YEAR([1]!Tableau13[[#This Row],[Date début]])</f>
        <v>#REF!</v>
      </c>
    </row>
    <row r="280" spans="1:18" ht="15.75" customHeight="1">
      <c r="A280" s="35">
        <v>44065</v>
      </c>
      <c r="B280" s="36">
        <v>429</v>
      </c>
      <c r="C280" s="37" t="str">
        <f>IF(ISNA(VLOOKUP(Tableau13[[#This Row],[Code]],'Code Véhicule'!$A$4:$C$185,2,0)),"",VLOOKUP(Tableau13[[#This Row],[Code]],'Code Véhicule'!$A$4:$C$185,2,0))</f>
        <v>Chariot elevateur</v>
      </c>
      <c r="D280" s="38" t="str">
        <f>IF(ISNA(VLOOKUP(Tableau13[[#This Row],[Code]],'Code Véhicule'!$A$4:$C$185,3,0)),"",VLOOKUP(Tableau13[[#This Row],[Code]],'Code Véhicule'!$A$4:$C$185,3,0))</f>
        <v>Fenwick HD30</v>
      </c>
      <c r="E280" s="36" t="str">
        <f>IF(ISNA(VLOOKUP(Tableau13[[#This Row],[Code]],'Code Véhicule'!$A$4:$D$185,4,0))," ",VLOOKUP(Tableau13[[#This Row],[Code]],'Code Véhicule'!$A$4:$D$185,4,0))</f>
        <v>-</v>
      </c>
      <c r="F280" s="36">
        <v>23286</v>
      </c>
      <c r="G280" s="38" t="s">
        <v>402</v>
      </c>
      <c r="H280" s="38" t="s">
        <v>685</v>
      </c>
      <c r="I280" s="36" t="s">
        <v>304</v>
      </c>
      <c r="J280" s="36" t="s">
        <v>686</v>
      </c>
      <c r="K280" s="36">
        <v>149460</v>
      </c>
      <c r="L280" s="40">
        <v>240</v>
      </c>
      <c r="M280" s="36">
        <v>240</v>
      </c>
      <c r="N280" s="41">
        <v>44065</v>
      </c>
      <c r="O280" s="38"/>
      <c r="P280" s="38"/>
      <c r="Q280" s="176" t="e">
        <f>MONTH([1]!Tableau13[[#This Row],[Date début]])</f>
        <v>#REF!</v>
      </c>
      <c r="R280" s="180" t="e">
        <f>YEAR([1]!Tableau13[[#This Row],[Date début]])</f>
        <v>#REF!</v>
      </c>
    </row>
    <row r="281" spans="1:18" ht="45" customHeight="1">
      <c r="A281" s="35">
        <v>44065</v>
      </c>
      <c r="B281" s="36">
        <v>429</v>
      </c>
      <c r="C281" s="37" t="str">
        <f>IF(ISNA(VLOOKUP(Tableau13[[#This Row],[Code]],'Code Véhicule'!$A$4:$C$185,2,0)),"",VLOOKUP(Tableau13[[#This Row],[Code]],'Code Véhicule'!$A$4:$C$185,2,0))</f>
        <v>Chariot elevateur</v>
      </c>
      <c r="D281" s="38" t="str">
        <f>IF(ISNA(VLOOKUP(Tableau13[[#This Row],[Code]],'Code Véhicule'!$A$4:$C$185,3,0)),"",VLOOKUP(Tableau13[[#This Row],[Code]],'Code Véhicule'!$A$4:$C$185,3,0))</f>
        <v>Fenwick HD30</v>
      </c>
      <c r="E281" s="36" t="str">
        <f>IF(ISNA(VLOOKUP(Tableau13[[#This Row],[Code]],'Code Véhicule'!$A$4:$D$185,4,0))," ",VLOOKUP(Tableau13[[#This Row],[Code]],'Code Véhicule'!$A$4:$D$185,4,0))</f>
        <v>-</v>
      </c>
      <c r="F281" s="36">
        <v>23289</v>
      </c>
      <c r="G281" s="38" t="s">
        <v>393</v>
      </c>
      <c r="H281" s="38" t="s">
        <v>608</v>
      </c>
      <c r="I281" s="36" t="s">
        <v>302</v>
      </c>
      <c r="J281" s="36" t="s">
        <v>690</v>
      </c>
      <c r="K281" s="36">
        <v>149464</v>
      </c>
      <c r="L281" s="40">
        <v>120</v>
      </c>
      <c r="M281" s="36">
        <v>120</v>
      </c>
      <c r="N281" s="41">
        <v>44065</v>
      </c>
      <c r="O281" s="38"/>
      <c r="P281" s="38"/>
      <c r="Q281" s="176" t="e">
        <f>MONTH([1]!Tableau13[[#This Row],[Date début]])</f>
        <v>#REF!</v>
      </c>
      <c r="R281" s="180" t="e">
        <f>YEAR([1]!Tableau13[[#This Row],[Date début]])</f>
        <v>#REF!</v>
      </c>
    </row>
    <row r="282" spans="1:18" ht="60" customHeight="1">
      <c r="A282" s="35">
        <v>44065</v>
      </c>
      <c r="B282" s="36">
        <v>436</v>
      </c>
      <c r="C282" s="37" t="str">
        <f>IF(ISNA(VLOOKUP(Tableau13[[#This Row],[Code]],'Code Véhicule'!$A$4:$C$185,2,0)),"",VLOOKUP(Tableau13[[#This Row],[Code]],'Code Véhicule'!$A$4:$C$185,2,0))</f>
        <v>Camion</v>
      </c>
      <c r="D282" s="38" t="str">
        <f>IF(ISNA(VLOOKUP(Tableau13[[#This Row],[Code]],'Code Véhicule'!$A$4:$C$185,3,0)),"",VLOOKUP(Tableau13[[#This Row],[Code]],'Code Véhicule'!$A$4:$C$185,3,0))</f>
        <v>Mitsubishi</v>
      </c>
      <c r="E282" s="36" t="str">
        <f>IF(ISNA(VLOOKUP(Tableau13[[#This Row],[Code]],'Code Véhicule'!$A$4:$D$185,4,0))," ",VLOOKUP(Tableau13[[#This Row],[Code]],'Code Véhicule'!$A$4:$D$185,4,0))</f>
        <v>11470-A-73</v>
      </c>
      <c r="F282" s="36">
        <v>23290</v>
      </c>
      <c r="G282" s="38" t="s">
        <v>393</v>
      </c>
      <c r="H282" s="38" t="s">
        <v>608</v>
      </c>
      <c r="I282" s="36" t="s">
        <v>302</v>
      </c>
      <c r="J282" s="36" t="s">
        <v>691</v>
      </c>
      <c r="K282" s="36" t="s">
        <v>692</v>
      </c>
      <c r="L282" s="40">
        <v>180</v>
      </c>
      <c r="M282" s="36">
        <v>180</v>
      </c>
      <c r="N282" s="41">
        <v>44065</v>
      </c>
      <c r="O282" s="38"/>
      <c r="P282" s="38"/>
      <c r="Q282" s="176" t="e">
        <f>MONTH([1]!Tableau13[[#This Row],[Date début]])</f>
        <v>#REF!</v>
      </c>
      <c r="R282" s="180" t="e">
        <f>YEAR([1]!Tableau13[[#This Row],[Date début]])</f>
        <v>#REF!</v>
      </c>
    </row>
    <row r="283" spans="1:18" ht="90" customHeight="1">
      <c r="A283" s="35">
        <v>44067</v>
      </c>
      <c r="B283" s="36">
        <v>445</v>
      </c>
      <c r="C283" s="37" t="str">
        <f>IF(ISNA(VLOOKUP(Tableau13[[#This Row],[Code]],'Code Véhicule'!$A$4:$C$41,2,TRUE)),"",(VLOOKUP(Tableau13[[#This Row],[Code]],'Code Véhicule'!$A$4:$C$41,2,TRUE)))</f>
        <v>Semi remorque</v>
      </c>
      <c r="D283" s="38" t="str">
        <f>IF(ISNA(VLOOKUP(Tableau13[[#This Row],[Code]],'Code Véhicule'!$A$4:$C$185,3,0)),"",VLOOKUP(Tableau13[[#This Row],[Code]],'Code Véhicule'!$A$4:$C$185,3,0))</f>
        <v/>
      </c>
      <c r="E283" s="36" t="str">
        <f>IF(ISNA(VLOOKUP(Tableau13[[#This Row],[Code]],'Code Véhicule'!$A$4:$D$185,4,0))," ",VLOOKUP(Tableau13[[#This Row],[Code]],'Code Véhicule'!$A$4:$D$185,4,0))</f>
        <v xml:space="preserve"> </v>
      </c>
      <c r="F283" s="36">
        <v>23316</v>
      </c>
      <c r="G283" s="38" t="s">
        <v>508</v>
      </c>
      <c r="H283" s="38" t="s">
        <v>683</v>
      </c>
      <c r="I283" s="36" t="s">
        <v>304</v>
      </c>
      <c r="J283" s="36" t="s">
        <v>726</v>
      </c>
      <c r="K283" s="36" t="s">
        <v>727</v>
      </c>
      <c r="L283" s="40">
        <v>3420</v>
      </c>
      <c r="M283" s="36">
        <v>13680</v>
      </c>
      <c r="N283" s="41">
        <v>44090</v>
      </c>
      <c r="O283" s="38"/>
      <c r="P283" s="38"/>
      <c r="Q283" s="176" t="e">
        <f>MONTH([1]!Tableau13[[#This Row],[Date début]])</f>
        <v>#REF!</v>
      </c>
      <c r="R283" s="180" t="e">
        <f>YEAR([1]!Tableau13[[#This Row],[Date début]])</f>
        <v>#REF!</v>
      </c>
    </row>
    <row r="284" spans="1:18" ht="60" customHeight="1">
      <c r="A284" s="35">
        <v>44068</v>
      </c>
      <c r="B284" s="36">
        <v>411</v>
      </c>
      <c r="C284" s="37" t="str">
        <f>IF(ISNA(VLOOKUP(Tableau13[[#This Row],[Code]],'Code Véhicule'!$A$4:$C$185,2,0)),"",VLOOKUP(Tableau13[[#This Row],[Code]],'Code Véhicule'!$A$4:$C$185,2,0))</f>
        <v>Camion</v>
      </c>
      <c r="D284" s="38" t="str">
        <f>IF(ISNA(VLOOKUP(Tableau13[[#This Row],[Code]],'Code Véhicule'!$A$4:$C$185,3,0)),"",VLOOKUP(Tableau13[[#This Row],[Code]],'Code Véhicule'!$A$4:$C$185,3,0))</f>
        <v>Renault</v>
      </c>
      <c r="E284" s="36" t="str">
        <f>IF(ISNA(VLOOKUP(Tableau13[[#This Row],[Code]],'Code Véhicule'!$A$4:$D$185,4,0))," ",VLOOKUP(Tableau13[[#This Row],[Code]],'Code Véhicule'!$A$4:$D$185,4,0))</f>
        <v>25636-A-13</v>
      </c>
      <c r="F284" s="36">
        <v>23300</v>
      </c>
      <c r="G284" s="38" t="s">
        <v>393</v>
      </c>
      <c r="H284" s="38" t="s">
        <v>608</v>
      </c>
      <c r="I284" s="36" t="s">
        <v>304</v>
      </c>
      <c r="J284" s="36" t="s">
        <v>764</v>
      </c>
      <c r="K284" s="36">
        <v>149487</v>
      </c>
      <c r="L284" s="40">
        <v>120</v>
      </c>
      <c r="M284" s="36">
        <v>120</v>
      </c>
      <c r="N284" s="41">
        <v>44068</v>
      </c>
      <c r="O284" s="38"/>
      <c r="P284" s="38"/>
      <c r="Q284" s="176" t="e">
        <f>MONTH([1]!Tableau13[[#This Row],[Date début]])</f>
        <v>#REF!</v>
      </c>
      <c r="R284" s="180" t="e">
        <f>YEAR([1]!Tableau13[[#This Row],[Date début]])</f>
        <v>#REF!</v>
      </c>
    </row>
    <row r="285" spans="1:18" ht="15.75" customHeight="1">
      <c r="A285" s="35">
        <v>44069</v>
      </c>
      <c r="B285" s="36">
        <v>438</v>
      </c>
      <c r="C285" s="37" t="str">
        <f>IF(ISNA(VLOOKUP(Tableau13[[#This Row],[Code]],'Code Véhicule'!$A$4:$C$185,2,0)),"",VLOOKUP(Tableau13[[#This Row],[Code]],'Code Véhicule'!$A$4:$C$185,2,0))</f>
        <v>Semi remorque</v>
      </c>
      <c r="D285" s="38" t="str">
        <f>IF(ISNA(VLOOKUP(Tableau13[[#This Row],[Code]],'Code Véhicule'!$A$4:$C$185,3,0)),"",VLOOKUP(Tableau13[[#This Row],[Code]],'Code Véhicule'!$A$4:$C$185,3,0))</f>
        <v>VOLVO</v>
      </c>
      <c r="E285" s="36" t="str">
        <f>IF(ISNA(VLOOKUP(Tableau13[[#This Row],[Code]],'Code Véhicule'!$A$4:$D$185,4,0))," ",VLOOKUP(Tableau13[[#This Row],[Code]],'Code Véhicule'!$A$4:$D$185,4,0))</f>
        <v xml:space="preserve">17885-A-73 </v>
      </c>
      <c r="F285" s="36">
        <v>23291</v>
      </c>
      <c r="G285" s="38" t="s">
        <v>525</v>
      </c>
      <c r="H285" s="38" t="s">
        <v>622</v>
      </c>
      <c r="I285" s="36" t="s">
        <v>304</v>
      </c>
      <c r="J285" s="36" t="s">
        <v>372</v>
      </c>
      <c r="K285" s="36">
        <v>149474</v>
      </c>
      <c r="L285" s="40">
        <v>120</v>
      </c>
      <c r="M285" s="36">
        <v>120</v>
      </c>
      <c r="N285" s="41">
        <v>44069</v>
      </c>
      <c r="O285" s="38"/>
      <c r="P285" s="38"/>
      <c r="Q285" s="176" t="e">
        <f>MONTH([1]!Tableau13[[#This Row],[Date début]])</f>
        <v>#REF!</v>
      </c>
      <c r="R285" s="180" t="e">
        <f>YEAR([1]!Tableau13[[#This Row],[Date début]])</f>
        <v>#REF!</v>
      </c>
    </row>
    <row r="286" spans="1:18" ht="60" customHeight="1">
      <c r="A286" s="35">
        <v>44070</v>
      </c>
      <c r="B286" s="36">
        <v>434</v>
      </c>
      <c r="C286" s="37" t="str">
        <f>IF(ISNA(VLOOKUP(Tableau13[[#This Row],[Code]],'Code Véhicule'!$A$4:$C$185,2,0)),"",VLOOKUP(Tableau13[[#This Row],[Code]],'Code Véhicule'!$A$4:$C$185,2,0))</f>
        <v>Chariot elevateur</v>
      </c>
      <c r="D286" s="38" t="str">
        <f>IF(ISNA(VLOOKUP(Tableau13[[#This Row],[Code]],'Code Véhicule'!$A$4:$C$185,3,0)),"",VLOOKUP(Tableau13[[#This Row],[Code]],'Code Véhicule'!$A$4:$C$185,3,0))</f>
        <v>Linde H30D</v>
      </c>
      <c r="E286" s="36" t="str">
        <f>IF(ISNA(VLOOKUP(Tableau13[[#This Row],[Code]],'Code Véhicule'!$A$4:$D$185,4,0))," ",VLOOKUP(Tableau13[[#This Row],[Code]],'Code Véhicule'!$A$4:$D$185,4,0))</f>
        <v>-</v>
      </c>
      <c r="F286" s="36">
        <v>23294</v>
      </c>
      <c r="G286" s="38" t="s">
        <v>393</v>
      </c>
      <c r="H286" s="38" t="s">
        <v>608</v>
      </c>
      <c r="I286" s="36" t="s">
        <v>304</v>
      </c>
      <c r="J286" s="36" t="s">
        <v>696</v>
      </c>
      <c r="K286" s="36">
        <v>149477</v>
      </c>
      <c r="L286" s="40">
        <v>120</v>
      </c>
      <c r="M286" s="36">
        <v>120</v>
      </c>
      <c r="N286" s="41">
        <v>44070</v>
      </c>
      <c r="O286" s="38"/>
      <c r="P286" s="38"/>
      <c r="Q286" s="176" t="e">
        <f>MONTH([1]!Tableau13[[#This Row],[Date début]])</f>
        <v>#REF!</v>
      </c>
      <c r="R286" s="180" t="e">
        <f>YEAR([1]!Tableau13[[#This Row],[Date début]])</f>
        <v>#REF!</v>
      </c>
    </row>
    <row r="287" spans="1:18" ht="45" customHeight="1">
      <c r="A287" s="35">
        <v>44070</v>
      </c>
      <c r="B287" s="36">
        <v>413</v>
      </c>
      <c r="C287" s="37" t="str">
        <f>IF(ISNA(VLOOKUP(Tableau13[[#This Row],[Code]],'Code Véhicule'!$A$4:$C$185,2,0)),"",VLOOKUP(Tableau13[[#This Row],[Code]],'Code Véhicule'!$A$4:$C$185,2,0))</f>
        <v>Chargeur</v>
      </c>
      <c r="D287" s="38" t="str">
        <f>IF(ISNA(VLOOKUP(Tableau13[[#This Row],[Code]],'Code Véhicule'!$A$4:$C$185,3,0)),"",VLOOKUP(Tableau13[[#This Row],[Code]],'Code Véhicule'!$A$4:$C$185,3,0))</f>
        <v>Caterpillar</v>
      </c>
      <c r="E287" s="36" t="str">
        <f>IF(ISNA(VLOOKUP(Tableau13[[#This Row],[Code]],'Code Véhicule'!$A$4:$D$185,4,0))," ",VLOOKUP(Tableau13[[#This Row],[Code]],'Code Véhicule'!$A$4:$D$185,4,0))</f>
        <v>-</v>
      </c>
      <c r="F287" s="36">
        <v>23296</v>
      </c>
      <c r="G287" s="38" t="s">
        <v>697</v>
      </c>
      <c r="H287" s="38" t="s">
        <v>698</v>
      </c>
      <c r="I287" s="36" t="s">
        <v>304</v>
      </c>
      <c r="J287" s="36" t="s">
        <v>699</v>
      </c>
      <c r="K287" s="36">
        <v>149479</v>
      </c>
      <c r="L287" s="40">
        <v>1710</v>
      </c>
      <c r="M287" s="36">
        <v>1710</v>
      </c>
      <c r="N287" s="41">
        <v>44073</v>
      </c>
      <c r="O287" s="38"/>
      <c r="P287" s="38"/>
      <c r="Q287" s="176" t="e">
        <f>MONTH([1]!Tableau13[[#This Row],[Date début]])</f>
        <v>#REF!</v>
      </c>
      <c r="R287" s="180" t="e">
        <f>YEAR([1]!Tableau13[[#This Row],[Date début]])</f>
        <v>#REF!</v>
      </c>
    </row>
    <row r="288" spans="1:18" ht="15.75" customHeight="1">
      <c r="A288" s="35">
        <v>44071</v>
      </c>
      <c r="B288" s="36">
        <v>409</v>
      </c>
      <c r="C288" s="37" t="str">
        <f>IF(ISNA(VLOOKUP(Tableau13[[#This Row],[Code]],'Code Véhicule'!$A$4:$C$185,2,0)),"",VLOOKUP(Tableau13[[#This Row],[Code]],'Code Véhicule'!$A$4:$C$185,2,0))</f>
        <v>Camion</v>
      </c>
      <c r="D288" s="38" t="str">
        <f>IF(ISNA(VLOOKUP(Tableau13[[#This Row],[Code]],'Code Véhicule'!$A$4:$C$185,3,0)),"",VLOOKUP(Tableau13[[#This Row],[Code]],'Code Véhicule'!$A$4:$C$185,3,0))</f>
        <v>Mitsubishi</v>
      </c>
      <c r="E288" s="36" t="str">
        <f>IF(ISNA(VLOOKUP(Tableau13[[#This Row],[Code]],'Code Véhicule'!$A$4:$D$185,4,0))," ",VLOOKUP(Tableau13[[#This Row],[Code]],'Code Véhicule'!$A$4:$D$185,4,0))</f>
        <v xml:space="preserve">4969-A-73 </v>
      </c>
      <c r="F288" s="36">
        <v>23292</v>
      </c>
      <c r="G288" s="38" t="s">
        <v>542</v>
      </c>
      <c r="H288" s="38" t="s">
        <v>693</v>
      </c>
      <c r="I288" s="36" t="s">
        <v>304</v>
      </c>
      <c r="J288" s="36" t="s">
        <v>694</v>
      </c>
      <c r="K288" s="36">
        <v>149475</v>
      </c>
      <c r="L288" s="40">
        <v>60</v>
      </c>
      <c r="M288" s="36">
        <v>60</v>
      </c>
      <c r="N288" s="41">
        <v>44071</v>
      </c>
      <c r="O288" s="38"/>
      <c r="P288" s="38"/>
      <c r="Q288" s="176" t="e">
        <f>MONTH([1]!Tableau13[[#This Row],[Date début]])</f>
        <v>#REF!</v>
      </c>
      <c r="R288" s="180" t="e">
        <f>YEAR([1]!Tableau13[[#This Row],[Date début]])</f>
        <v>#REF!</v>
      </c>
    </row>
    <row r="289" spans="1:18" ht="30" customHeight="1">
      <c r="A289" s="35">
        <v>44072</v>
      </c>
      <c r="B289" s="36">
        <v>435</v>
      </c>
      <c r="C289" s="37" t="str">
        <f>IF(ISNA(VLOOKUP(Tableau13[[#This Row],[Code]],'Code Véhicule'!$A$4:$C$185,2,0)),"",VLOOKUP(Tableau13[[#This Row],[Code]],'Code Véhicule'!$A$4:$C$185,2,0))</f>
        <v>Camion</v>
      </c>
      <c r="D289" s="38" t="str">
        <f>IF(ISNA(VLOOKUP(Tableau13[[#This Row],[Code]],'Code Véhicule'!$A$4:$C$185,3,0)),"",VLOOKUP(Tableau13[[#This Row],[Code]],'Code Véhicule'!$A$4:$C$185,3,0))</f>
        <v>Mitsubishi</v>
      </c>
      <c r="E289" s="36" t="str">
        <f>IF(ISNA(VLOOKUP(Tableau13[[#This Row],[Code]],'Code Véhicule'!$A$4:$D$185,4,0))," ",VLOOKUP(Tableau13[[#This Row],[Code]],'Code Véhicule'!$A$4:$D$185,4,0))</f>
        <v xml:space="preserve"> 11469-A-73</v>
      </c>
      <c r="F289" s="36">
        <v>22920</v>
      </c>
      <c r="G289" s="38" t="s">
        <v>525</v>
      </c>
      <c r="H289" s="38" t="s">
        <v>622</v>
      </c>
      <c r="I289" s="36" t="s">
        <v>304</v>
      </c>
      <c r="J289" s="36" t="s">
        <v>659</v>
      </c>
      <c r="K289" s="36">
        <v>189488</v>
      </c>
      <c r="L289" s="40">
        <v>120</v>
      </c>
      <c r="M289" s="36">
        <v>120</v>
      </c>
      <c r="N289" s="41">
        <v>44072</v>
      </c>
      <c r="O289" s="38"/>
      <c r="P289" s="38"/>
      <c r="Q289" s="176" t="e">
        <f>MONTH([1]!Tableau13[[#This Row],[Date début]])</f>
        <v>#REF!</v>
      </c>
      <c r="R289" s="180" t="e">
        <f>YEAR([1]!Tableau13[[#This Row],[Date début]])</f>
        <v>#REF!</v>
      </c>
    </row>
    <row r="290" spans="1:18" ht="15.75" customHeight="1">
      <c r="A290" s="35">
        <v>44072</v>
      </c>
      <c r="B290" s="36">
        <v>436</v>
      </c>
      <c r="C290" s="37" t="str">
        <f>IF(ISNA(VLOOKUP(Tableau13[[#This Row],[Code]],'Code Véhicule'!$A$4:$C$185,2,0)),"",VLOOKUP(Tableau13[[#This Row],[Code]],'Code Véhicule'!$A$4:$C$185,2,0))</f>
        <v>Camion</v>
      </c>
      <c r="D290" s="38" t="str">
        <f>IF(ISNA(VLOOKUP(Tableau13[[#This Row],[Code]],'Code Véhicule'!$A$4:$C$185,3,0)),"",VLOOKUP(Tableau13[[#This Row],[Code]],'Code Véhicule'!$A$4:$C$185,3,0))</f>
        <v>Mitsubishi</v>
      </c>
      <c r="E290" s="36" t="str">
        <f>IF(ISNA(VLOOKUP(Tableau13[[#This Row],[Code]],'Code Véhicule'!$A$4:$D$185,4,0))," ",VLOOKUP(Tableau13[[#This Row],[Code]],'Code Véhicule'!$A$4:$D$185,4,0))</f>
        <v>11470-A-73</v>
      </c>
      <c r="F290" s="36">
        <v>23298</v>
      </c>
      <c r="G290" s="38" t="s">
        <v>560</v>
      </c>
      <c r="H290" s="38" t="s">
        <v>604</v>
      </c>
      <c r="I290" s="36" t="s">
        <v>304</v>
      </c>
      <c r="J290" s="36" t="s">
        <v>648</v>
      </c>
      <c r="K290" s="36">
        <v>149484</v>
      </c>
      <c r="L290" s="40">
        <v>60</v>
      </c>
      <c r="M290" s="36">
        <v>60</v>
      </c>
      <c r="N290" s="41">
        <v>44072</v>
      </c>
      <c r="O290" s="38"/>
      <c r="P290" s="38"/>
      <c r="Q290" s="176" t="e">
        <f>MONTH([1]!Tableau13[[#This Row],[Date début]])</f>
        <v>#REF!</v>
      </c>
      <c r="R290" s="180" t="e">
        <f>YEAR([1]!Tableau13[[#This Row],[Date début]])</f>
        <v>#REF!</v>
      </c>
    </row>
    <row r="291" spans="1:18" ht="15.75" customHeight="1">
      <c r="A291" s="35">
        <v>44072</v>
      </c>
      <c r="B291" s="36">
        <v>411</v>
      </c>
      <c r="C291" s="37" t="str">
        <f>IF(ISNA(VLOOKUP(Tableau13[[#This Row],[Code]],'Code Véhicule'!$A$4:$C$185,2,0)),"",VLOOKUP(Tableau13[[#This Row],[Code]],'Code Véhicule'!$A$4:$C$185,2,0))</f>
        <v>Camion</v>
      </c>
      <c r="D291" s="38" t="str">
        <f>IF(ISNA(VLOOKUP(Tableau13[[#This Row],[Code]],'Code Véhicule'!$A$4:$C$185,3,0)),"",VLOOKUP(Tableau13[[#This Row],[Code]],'Code Véhicule'!$A$4:$C$185,3,0))</f>
        <v>Renault</v>
      </c>
      <c r="E291" s="36" t="str">
        <f>IF(ISNA(VLOOKUP(Tableau13[[#This Row],[Code]],'Code Véhicule'!$A$4:$D$185,4,0))," ",VLOOKUP(Tableau13[[#This Row],[Code]],'Code Véhicule'!$A$4:$D$185,4,0))</f>
        <v>25636-A-13</v>
      </c>
      <c r="F291" s="36">
        <v>23299</v>
      </c>
      <c r="G291" s="38" t="s">
        <v>560</v>
      </c>
      <c r="H291" s="38" t="s">
        <v>604</v>
      </c>
      <c r="I291" s="36" t="s">
        <v>304</v>
      </c>
      <c r="J291" s="36" t="s">
        <v>648</v>
      </c>
      <c r="K291" s="36">
        <v>149485</v>
      </c>
      <c r="L291" s="40">
        <v>60</v>
      </c>
      <c r="M291" s="36">
        <v>60</v>
      </c>
      <c r="N291" s="41">
        <v>44072</v>
      </c>
      <c r="O291" s="38"/>
      <c r="P291" s="38"/>
      <c r="Q291" s="176" t="e">
        <f>MONTH([1]!Tableau13[[#This Row],[Date début]])</f>
        <v>#REF!</v>
      </c>
      <c r="R291" s="180" t="e">
        <f>YEAR([1]!Tableau13[[#This Row],[Date début]])</f>
        <v>#REF!</v>
      </c>
    </row>
    <row r="292" spans="1:18" ht="15.75" customHeight="1">
      <c r="A292" s="35">
        <v>44074</v>
      </c>
      <c r="B292" s="36">
        <v>413</v>
      </c>
      <c r="C292" s="37" t="str">
        <f>IF(ISNA(VLOOKUP(Tableau13[[#This Row],[Code]],'Code Véhicule'!$A$4:$C$185,2,0)),"",VLOOKUP(Tableau13[[#This Row],[Code]],'Code Véhicule'!$A$4:$C$185,2,0))</f>
        <v>Chargeur</v>
      </c>
      <c r="D292" s="38" t="str">
        <f>IF(ISNA(VLOOKUP(Tableau13[[#This Row],[Code]],'Code Véhicule'!$A$4:$C$185,3,0)),"",VLOOKUP(Tableau13[[#This Row],[Code]],'Code Véhicule'!$A$4:$C$185,3,0))</f>
        <v>Caterpillar</v>
      </c>
      <c r="E292" s="36" t="str">
        <f>IF(ISNA(VLOOKUP(Tableau13[[#This Row],[Code]],'Code Véhicule'!$A$4:$D$185,4,0))," ",VLOOKUP(Tableau13[[#This Row],[Code]],'Code Véhicule'!$A$4:$D$185,4,0))</f>
        <v>-</v>
      </c>
      <c r="F292" s="36">
        <v>22921</v>
      </c>
      <c r="G292" s="38" t="s">
        <v>660</v>
      </c>
      <c r="H292" s="38" t="s">
        <v>661</v>
      </c>
      <c r="I292" s="36" t="s">
        <v>304</v>
      </c>
      <c r="J292" s="36" t="s">
        <v>662</v>
      </c>
      <c r="K292" s="36">
        <v>149486</v>
      </c>
      <c r="L292" s="40">
        <v>120</v>
      </c>
      <c r="M292" s="36">
        <v>120</v>
      </c>
      <c r="N292" s="41">
        <v>44074</v>
      </c>
      <c r="O292" s="38"/>
      <c r="P292" s="38"/>
      <c r="Q292" s="176" t="e">
        <f>MONTH([1]!Tableau13[[#This Row],[Date début]])</f>
        <v>#REF!</v>
      </c>
      <c r="R292" s="180" t="e">
        <f>YEAR([1]!Tableau13[[#This Row],[Date début]])</f>
        <v>#REF!</v>
      </c>
    </row>
    <row r="293" spans="1:18">
      <c r="A293" s="35">
        <v>44075</v>
      </c>
      <c r="B293" s="36">
        <v>471</v>
      </c>
      <c r="C293" s="37" t="str">
        <f>IF(ISNA(VLOOKUP(Tableau13[[#This Row],[Code]],'Code Véhicule'!$A$4:$C$185,2,0)),"",VLOOKUP(Tableau13[[#This Row],[Code]],'Code Véhicule'!$A$4:$C$185,2,0))</f>
        <v>Bus de transport</v>
      </c>
      <c r="D293" s="38" t="str">
        <f>IF(ISNA(VLOOKUP(Tableau13[[#This Row],[Code]],'Code Véhicule'!$A$4:$C$185,3,0)),"",VLOOKUP(Tableau13[[#This Row],[Code]],'Code Véhicule'!$A$4:$C$185,3,0))</f>
        <v xml:space="preserve">Hyundai County </v>
      </c>
      <c r="E293" s="36" t="str">
        <f>IF(ISNA(VLOOKUP(Tableau13[[#This Row],[Code]],'Code Véhicule'!$A$4:$D$185,4,0))," ",VLOOKUP(Tableau13[[#This Row],[Code]],'Code Véhicule'!$A$4:$D$185,4,0))</f>
        <v>18516-A-73</v>
      </c>
      <c r="F293" s="36">
        <v>22922</v>
      </c>
      <c r="G293" s="38" t="s">
        <v>663</v>
      </c>
      <c r="H293" s="38" t="s">
        <v>664</v>
      </c>
      <c r="I293" s="36" t="s">
        <v>304</v>
      </c>
      <c r="J293" s="36" t="s">
        <v>665</v>
      </c>
      <c r="K293" s="36">
        <v>149492</v>
      </c>
      <c r="L293" s="40">
        <v>240</v>
      </c>
      <c r="M293" s="36">
        <v>240</v>
      </c>
      <c r="N293" s="41">
        <v>44075</v>
      </c>
      <c r="O293" s="38"/>
      <c r="P293" s="38"/>
      <c r="Q293" s="176" t="e">
        <f>MONTH([1]!Tableau13[[#This Row],[Date début]])</f>
        <v>#REF!</v>
      </c>
      <c r="R293" s="180" t="e">
        <f>YEAR([1]!Tableau13[[#This Row],[Date début]])</f>
        <v>#REF!</v>
      </c>
    </row>
    <row r="294" spans="1:18" ht="15.75" customHeight="1">
      <c r="A294" s="35">
        <v>44075</v>
      </c>
      <c r="B294" s="36">
        <v>436</v>
      </c>
      <c r="C294" s="37" t="str">
        <f>IF(ISNA(VLOOKUP(Tableau13[[#This Row],[Code]],'Code Véhicule'!$A$4:$C$185,2,0)),"",VLOOKUP(Tableau13[[#This Row],[Code]],'Code Véhicule'!$A$4:$C$185,2,0))</f>
        <v>Camion</v>
      </c>
      <c r="D294" s="38" t="str">
        <f>IF(ISNA(VLOOKUP(Tableau13[[#This Row],[Code]],'Code Véhicule'!$A$4:$C$185,3,0)),"",VLOOKUP(Tableau13[[#This Row],[Code]],'Code Véhicule'!$A$4:$C$185,3,0))</f>
        <v>Mitsubishi</v>
      </c>
      <c r="E294" s="36" t="str">
        <f>IF(ISNA(VLOOKUP(Tableau13[[#This Row],[Code]],'Code Véhicule'!$A$4:$D$185,4,0))," ",VLOOKUP(Tableau13[[#This Row],[Code]],'Code Véhicule'!$A$4:$D$185,4,0))</f>
        <v>11470-A-73</v>
      </c>
      <c r="F294" s="36">
        <v>23301</v>
      </c>
      <c r="G294" s="38" t="s">
        <v>703</v>
      </c>
      <c r="H294" s="38" t="s">
        <v>633</v>
      </c>
      <c r="I294" s="36" t="s">
        <v>304</v>
      </c>
      <c r="J294" s="36" t="s">
        <v>704</v>
      </c>
      <c r="K294" s="36"/>
      <c r="L294" s="40">
        <v>120</v>
      </c>
      <c r="M294" s="36">
        <v>120</v>
      </c>
      <c r="N294" s="41">
        <v>44075</v>
      </c>
      <c r="O294" s="38"/>
      <c r="P294" s="38"/>
      <c r="Q294" s="176" t="e">
        <f>MONTH([1]!Tableau13[[#This Row],[Date début]])</f>
        <v>#REF!</v>
      </c>
      <c r="R294" s="180" t="e">
        <f>YEAR([1]!Tableau13[[#This Row],[Date début]])</f>
        <v>#REF!</v>
      </c>
    </row>
    <row r="295" spans="1:18" ht="15.75" customHeight="1">
      <c r="A295" s="35">
        <v>44075</v>
      </c>
      <c r="B295" s="36">
        <v>429</v>
      </c>
      <c r="C295" s="37" t="str">
        <f>IF(ISNA(VLOOKUP(Tableau13[[#This Row],[Code]],'Code Véhicule'!$A$4:$C$41,2,TRUE)),"",(VLOOKUP(Tableau13[[#This Row],[Code]],'Code Véhicule'!$A$4:$C$41,2,TRUE)))</f>
        <v>Chariot elevateur</v>
      </c>
      <c r="D295" s="38" t="str">
        <f>IF(ISNA(VLOOKUP(Tableau13[[#This Row],[Code]],'Code Véhicule'!$A$4:$C$185,3,0)),"",VLOOKUP(Tableau13[[#This Row],[Code]],'Code Véhicule'!$A$4:$C$185,3,0))</f>
        <v>Fenwick HD30</v>
      </c>
      <c r="E295" s="36" t="str">
        <f>IF(ISNA(VLOOKUP(Tableau13[[#This Row],[Code]],'Code Véhicule'!$A$4:$D$185,4,0))," ",VLOOKUP(Tableau13[[#This Row],[Code]],'Code Véhicule'!$A$4:$D$185,4,0))</f>
        <v>-</v>
      </c>
      <c r="F295" s="36">
        <v>23310</v>
      </c>
      <c r="G295" s="38" t="s">
        <v>697</v>
      </c>
      <c r="H295" s="38" t="s">
        <v>698</v>
      </c>
      <c r="I295" s="36" t="s">
        <v>304</v>
      </c>
      <c r="J295" s="36" t="s">
        <v>718</v>
      </c>
      <c r="K295" s="36">
        <v>150113</v>
      </c>
      <c r="L295" s="40">
        <v>240</v>
      </c>
      <c r="M295" s="36">
        <v>240</v>
      </c>
      <c r="N295" s="41">
        <v>44080</v>
      </c>
      <c r="O295" s="38"/>
      <c r="P295" s="38"/>
      <c r="Q295" s="176" t="e">
        <f>MONTH([1]!Tableau13[[#This Row],[Date début]])</f>
        <v>#REF!</v>
      </c>
      <c r="R295" s="180" t="e">
        <f>YEAR([1]!Tableau13[[#This Row],[Date début]])</f>
        <v>#REF!</v>
      </c>
    </row>
    <row r="296" spans="1:18" ht="15.75" customHeight="1">
      <c r="A296" s="35">
        <v>44076</v>
      </c>
      <c r="B296" s="36">
        <v>429</v>
      </c>
      <c r="C296" s="37" t="str">
        <f>IF(ISNA(VLOOKUP(Tableau13[[#This Row],[Code]],'Code Véhicule'!$A$4:$C$185,2,0)),"",VLOOKUP(Tableau13[[#This Row],[Code]],'Code Véhicule'!$A$4:$C$185,2,0))</f>
        <v>Chariot elevateur</v>
      </c>
      <c r="D296" s="38" t="str">
        <f>IF(ISNA(VLOOKUP(Tableau13[[#This Row],[Code]],'Code Véhicule'!$A$4:$C$185,3,0)),"",VLOOKUP(Tableau13[[#This Row],[Code]],'Code Véhicule'!$A$4:$C$185,3,0))</f>
        <v>Fenwick HD30</v>
      </c>
      <c r="E296" s="36" t="str">
        <f>IF(ISNA(VLOOKUP(Tableau13[[#This Row],[Code]],'Code Véhicule'!$A$4:$D$185,4,0))," ",VLOOKUP(Tableau13[[#This Row],[Code]],'Code Véhicule'!$A$4:$D$185,4,0))</f>
        <v>-</v>
      </c>
      <c r="F296" s="36">
        <v>22923</v>
      </c>
      <c r="G296" s="38" t="s">
        <v>393</v>
      </c>
      <c r="H296" s="38" t="s">
        <v>613</v>
      </c>
      <c r="I296" s="36" t="s">
        <v>302</v>
      </c>
      <c r="J296" s="36" t="s">
        <v>666</v>
      </c>
      <c r="K296" s="36">
        <v>149493</v>
      </c>
      <c r="L296" s="40">
        <v>30</v>
      </c>
      <c r="M296" s="36">
        <v>30</v>
      </c>
      <c r="N296" s="41">
        <v>44076</v>
      </c>
      <c r="O296" s="38"/>
      <c r="P296" s="38"/>
      <c r="Q296" s="176" t="e">
        <f>MONTH([1]!Tableau13[[#This Row],[Date début]])</f>
        <v>#REF!</v>
      </c>
      <c r="R296" s="180" t="e">
        <f>YEAR([1]!Tableau13[[#This Row],[Date début]])</f>
        <v>#REF!</v>
      </c>
    </row>
    <row r="297" spans="1:18">
      <c r="A297" s="35">
        <v>44076</v>
      </c>
      <c r="B297" s="36">
        <v>479</v>
      </c>
      <c r="C297" s="37" t="str">
        <f>IF(ISNA(VLOOKUP(Tableau13[[#This Row],[Code]],'Code Véhicule'!$A$4:$C$185,2,0)),"",VLOOKUP(Tableau13[[#This Row],[Code]],'Code Véhicule'!$A$4:$C$185,2,0))</f>
        <v>Bus de transport</v>
      </c>
      <c r="D297" s="38" t="str">
        <f>IF(ISNA(VLOOKUP(Tableau13[[#This Row],[Code]],'Code Véhicule'!$A$4:$C$185,3,0)),"",VLOOKUP(Tableau13[[#This Row],[Code]],'Code Véhicule'!$A$4:$C$185,3,0))</f>
        <v>Hyundai County</v>
      </c>
      <c r="E297" s="36" t="str">
        <f>IF(ISNA(VLOOKUP(Tableau13[[#This Row],[Code]],'Code Véhicule'!$A$4:$D$185,4,0))," ",VLOOKUP(Tableau13[[#This Row],[Code]],'Code Véhicule'!$A$4:$D$185,4,0))</f>
        <v>22772-A-73</v>
      </c>
      <c r="F297" s="36">
        <v>22924</v>
      </c>
      <c r="G297" s="38" t="s">
        <v>525</v>
      </c>
      <c r="H297" s="38" t="s">
        <v>622</v>
      </c>
      <c r="I297" s="36" t="s">
        <v>304</v>
      </c>
      <c r="J297" s="36" t="s">
        <v>648</v>
      </c>
      <c r="K297" s="36">
        <v>149494</v>
      </c>
      <c r="L297" s="40">
        <v>60</v>
      </c>
      <c r="M297" s="36">
        <v>60</v>
      </c>
      <c r="N297" s="41">
        <v>44076</v>
      </c>
      <c r="O297" s="38"/>
      <c r="P297" s="38"/>
      <c r="Q297" s="176" t="e">
        <f>MONTH([1]!Tableau13[[#This Row],[Date début]])</f>
        <v>#REF!</v>
      </c>
      <c r="R297" s="180" t="e">
        <f>YEAR([1]!Tableau13[[#This Row],[Date début]])</f>
        <v>#REF!</v>
      </c>
    </row>
    <row r="298" spans="1:18" ht="15.75" customHeight="1">
      <c r="A298" s="35">
        <v>44076</v>
      </c>
      <c r="B298" s="36">
        <v>436</v>
      </c>
      <c r="C298" s="37" t="str">
        <f>IF(ISNA(VLOOKUP(Tableau13[[#This Row],[Code]],'Code Véhicule'!$A$4:$C$185,2,0)),"",VLOOKUP(Tableau13[[#This Row],[Code]],'Code Véhicule'!$A$4:$C$185,2,0))</f>
        <v>Camion</v>
      </c>
      <c r="D298" s="38" t="str">
        <f>IF(ISNA(VLOOKUP(Tableau13[[#This Row],[Code]],'Code Véhicule'!$A$4:$C$185,3,0)),"",VLOOKUP(Tableau13[[#This Row],[Code]],'Code Véhicule'!$A$4:$C$185,3,0))</f>
        <v>Mitsubishi</v>
      </c>
      <c r="E298" s="36" t="str">
        <f>IF(ISNA(VLOOKUP(Tableau13[[#This Row],[Code]],'Code Véhicule'!$A$4:$D$185,4,0))," ",VLOOKUP(Tableau13[[#This Row],[Code]],'Code Véhicule'!$A$4:$D$185,4,0))</f>
        <v>11470-A-73</v>
      </c>
      <c r="F298" s="36">
        <v>22925</v>
      </c>
      <c r="G298" s="38" t="s">
        <v>493</v>
      </c>
      <c r="H298" s="38" t="s">
        <v>601</v>
      </c>
      <c r="I298" s="36" t="s">
        <v>304</v>
      </c>
      <c r="J298" s="36" t="s">
        <v>667</v>
      </c>
      <c r="K298" s="36">
        <v>149495</v>
      </c>
      <c r="L298" s="40">
        <v>180</v>
      </c>
      <c r="M298" s="36">
        <v>180</v>
      </c>
      <c r="N298" s="41">
        <v>44076</v>
      </c>
      <c r="O298" s="38"/>
      <c r="P298" s="38"/>
      <c r="Q298" s="176" t="e">
        <f>MONTH([1]!Tableau13[[#This Row],[Date début]])</f>
        <v>#REF!</v>
      </c>
      <c r="R298" s="180" t="e">
        <f>YEAR([1]!Tableau13[[#This Row],[Date début]])</f>
        <v>#REF!</v>
      </c>
    </row>
    <row r="299" spans="1:18" ht="120" customHeight="1">
      <c r="A299" s="35">
        <v>44076</v>
      </c>
      <c r="B299" s="36">
        <v>409</v>
      </c>
      <c r="C299" s="37" t="str">
        <f>IF(ISNA(VLOOKUP(Tableau13[[#This Row],[Code]],'Code Véhicule'!$A$4:$C$185,2,0)),"",VLOOKUP(Tableau13[[#This Row],[Code]],'Code Véhicule'!$A$4:$C$185,2,0))</f>
        <v>Camion</v>
      </c>
      <c r="D299" s="38" t="str">
        <f>IF(ISNA(VLOOKUP(Tableau13[[#This Row],[Code]],'Code Véhicule'!$A$4:$C$185,3,0)),"",VLOOKUP(Tableau13[[#This Row],[Code]],'Code Véhicule'!$A$4:$C$185,3,0))</f>
        <v>Mitsubishi</v>
      </c>
      <c r="E299" s="36" t="str">
        <f>IF(ISNA(VLOOKUP(Tableau13[[#This Row],[Code]],'Code Véhicule'!$A$4:$D$185,4,0))," ",VLOOKUP(Tableau13[[#This Row],[Code]],'Code Véhicule'!$A$4:$D$185,4,0))</f>
        <v xml:space="preserve">4969-A-73 </v>
      </c>
      <c r="F299" s="36">
        <v>23302</v>
      </c>
      <c r="G299" s="38" t="s">
        <v>399</v>
      </c>
      <c r="H299" s="38" t="s">
        <v>850</v>
      </c>
      <c r="I299" s="36" t="s">
        <v>304</v>
      </c>
      <c r="J299" s="36" t="s">
        <v>711</v>
      </c>
      <c r="K299" s="36" t="s">
        <v>712</v>
      </c>
      <c r="L299" s="40">
        <v>5700</v>
      </c>
      <c r="M299" s="36">
        <v>14250</v>
      </c>
      <c r="N299" s="41">
        <v>44469</v>
      </c>
      <c r="O299" s="39">
        <v>44471</v>
      </c>
      <c r="P299" s="38"/>
      <c r="Q299" s="176" t="e">
        <f>MONTH([1]!Tableau13[[#This Row],[Date début]])</f>
        <v>#REF!</v>
      </c>
      <c r="R299" s="180" t="e">
        <f>YEAR([1]!Tableau13[[#This Row],[Date début]])</f>
        <v>#REF!</v>
      </c>
    </row>
    <row r="300" spans="1:18" ht="15.75" customHeight="1">
      <c r="A300" s="35">
        <v>44076</v>
      </c>
      <c r="B300" s="36">
        <v>401</v>
      </c>
      <c r="C300" s="37" t="str">
        <f>IF(ISNA(VLOOKUP(Tableau13[[#This Row],[Code]],'Code Véhicule'!$A$4:$C$41,2,TRUE)),"",(VLOOKUP(Tableau13[[#This Row],[Code]],'Code Véhicule'!$A$4:$C$41,2,TRUE)))</f>
        <v>Camion</v>
      </c>
      <c r="D300" s="38" t="str">
        <f>IF(ISNA(VLOOKUP(Tableau13[[#This Row],[Code]],'Code Véhicule'!$A$4:$C$185,3,0)),"",VLOOKUP(Tableau13[[#This Row],[Code]],'Code Véhicule'!$A$4:$C$185,3,0))</f>
        <v>ISUZU</v>
      </c>
      <c r="E300" s="36" t="str">
        <f>IF(ISNA(VLOOKUP(Tableau13[[#This Row],[Code]],'Code Véhicule'!$A$4:$D$185,4,0))," ",VLOOKUP(Tableau13[[#This Row],[Code]],'Code Véhicule'!$A$4:$D$185,4,0))</f>
        <v>26128-A-8</v>
      </c>
      <c r="F300" s="36">
        <v>23303</v>
      </c>
      <c r="G300" s="38" t="s">
        <v>1534</v>
      </c>
      <c r="H300" s="38" t="s">
        <v>705</v>
      </c>
      <c r="I300" s="36" t="s">
        <v>304</v>
      </c>
      <c r="J300" s="36" t="s">
        <v>706</v>
      </c>
      <c r="K300" s="36"/>
      <c r="L300" s="40">
        <v>570</v>
      </c>
      <c r="M300" s="36">
        <v>570</v>
      </c>
      <c r="N300" s="41">
        <v>44077</v>
      </c>
      <c r="O300" s="38"/>
      <c r="P300" s="38"/>
      <c r="Q300" s="176" t="e">
        <f>MONTH([1]!Tableau13[[#This Row],[Date début]])</f>
        <v>#REF!</v>
      </c>
      <c r="R300" s="180" t="e">
        <f>YEAR([1]!Tableau13[[#This Row],[Date début]])</f>
        <v>#REF!</v>
      </c>
    </row>
    <row r="301" spans="1:18" ht="120" customHeight="1">
      <c r="A301" s="35">
        <v>44076</v>
      </c>
      <c r="B301" s="36">
        <v>436</v>
      </c>
      <c r="C301" s="37" t="str">
        <f>IF(ISNA(VLOOKUP(Tableau13[[#This Row],[Code]],'Code Véhicule'!$A$4:$C$41,2,TRUE)),"",(VLOOKUP(Tableau13[[#This Row],[Code]],'Code Véhicule'!$A$4:$C$41,2,TRUE)))</f>
        <v>Camion</v>
      </c>
      <c r="D301" s="38" t="str">
        <f>IF(ISNA(VLOOKUP(Tableau13[[#This Row],[Code]],'Code Véhicule'!$A$4:$C$185,3,0)),"",VLOOKUP(Tableau13[[#This Row],[Code]],'Code Véhicule'!$A$4:$C$185,3,0))</f>
        <v>Mitsubishi</v>
      </c>
      <c r="E301" s="36" t="str">
        <f>IF(ISNA(VLOOKUP(Tableau13[[#This Row],[Code]],'Code Véhicule'!$A$4:$D$185,4,0))," ",VLOOKUP(Tableau13[[#This Row],[Code]],'Code Véhicule'!$A$4:$D$185,4,0))</f>
        <v>11470-A-73</v>
      </c>
      <c r="F301" s="36">
        <v>23304</v>
      </c>
      <c r="G301" s="38" t="s">
        <v>399</v>
      </c>
      <c r="H301" s="38" t="s">
        <v>707</v>
      </c>
      <c r="I301" s="36" t="s">
        <v>304</v>
      </c>
      <c r="J301" s="36" t="s">
        <v>713</v>
      </c>
      <c r="K301" s="36" t="s">
        <v>714</v>
      </c>
      <c r="L301" s="40">
        <v>2240</v>
      </c>
      <c r="M301" s="36">
        <v>13680</v>
      </c>
      <c r="N301" s="41">
        <v>44104</v>
      </c>
      <c r="O301" s="38"/>
      <c r="P301" s="38"/>
      <c r="Q301" s="176" t="e">
        <f>MONTH([1]!Tableau13[[#This Row],[Date début]])</f>
        <v>#REF!</v>
      </c>
      <c r="R301" s="180" t="e">
        <f>YEAR([1]!Tableau13[[#This Row],[Date début]])</f>
        <v>#REF!</v>
      </c>
    </row>
    <row r="302" spans="1:18" ht="15.75" customHeight="1">
      <c r="A302" s="35">
        <v>44076</v>
      </c>
      <c r="B302" s="36">
        <v>407</v>
      </c>
      <c r="C302" s="37" t="str">
        <f>IF(ISNA(VLOOKUP(Tableau13[[#This Row],[Code]],'Code Véhicule'!$A$4:$C$41,2,TRUE)),"",(VLOOKUP(Tableau13[[#This Row],[Code]],'Code Véhicule'!$A$4:$C$41,2,TRUE)))</f>
        <v>Semi remorque</v>
      </c>
      <c r="D302" s="38" t="str">
        <f>IF(ISNA(VLOOKUP(Tableau13[[#This Row],[Code]],'Code Véhicule'!$A$4:$C$185,3,0)),"",VLOOKUP(Tableau13[[#This Row],[Code]],'Code Véhicule'!$A$4:$C$185,3,0))</f>
        <v>MAN</v>
      </c>
      <c r="E302" s="36" t="str">
        <f>IF(ISNA(VLOOKUP(Tableau13[[#This Row],[Code]],'Code Véhicule'!$A$4:$D$185,4,0))," ",VLOOKUP(Tableau13[[#This Row],[Code]],'Code Véhicule'!$A$4:$D$185,4,0))</f>
        <v>706-A-73</v>
      </c>
      <c r="F302" s="36">
        <v>23305</v>
      </c>
      <c r="G302" s="38" t="s">
        <v>525</v>
      </c>
      <c r="H302" s="38" t="s">
        <v>687</v>
      </c>
      <c r="I302" s="36" t="s">
        <v>304</v>
      </c>
      <c r="J302" s="36" t="s">
        <v>569</v>
      </c>
      <c r="K302" s="36">
        <v>150101</v>
      </c>
      <c r="L302" s="40">
        <v>120</v>
      </c>
      <c r="M302" s="36">
        <v>120</v>
      </c>
      <c r="N302" s="41">
        <v>44076</v>
      </c>
      <c r="O302" s="38"/>
      <c r="P302" s="38"/>
      <c r="Q302" s="176" t="e">
        <f>MONTH([1]!Tableau13[[#This Row],[Date début]])</f>
        <v>#REF!</v>
      </c>
      <c r="R302" s="180" t="e">
        <f>YEAR([1]!Tableau13[[#This Row],[Date début]])</f>
        <v>#REF!</v>
      </c>
    </row>
    <row r="303" spans="1:18" ht="30" customHeight="1">
      <c r="A303" s="35">
        <v>44076</v>
      </c>
      <c r="B303" s="36">
        <v>430</v>
      </c>
      <c r="C303" s="37" t="str">
        <f>IF(ISNA(VLOOKUP(Tableau13[[#This Row],[Code]],'Code Véhicule'!$A$4:$C$41,2,TRUE)),"",(VLOOKUP(Tableau13[[#This Row],[Code]],'Code Véhicule'!$A$4:$C$41,2,TRUE)))</f>
        <v>Chariot elevateur</v>
      </c>
      <c r="D303" s="38" t="str">
        <f>IF(ISNA(VLOOKUP(Tableau13[[#This Row],[Code]],'Code Véhicule'!$A$4:$C$185,3,0)),"",VLOOKUP(Tableau13[[#This Row],[Code]],'Code Véhicule'!$A$4:$C$185,3,0))</f>
        <v>Fenwick  H40</v>
      </c>
      <c r="E303" s="36" t="str">
        <f>IF(ISNA(VLOOKUP(Tableau13[[#This Row],[Code]],'Code Véhicule'!$A$4:$D$185,4,0))," ",VLOOKUP(Tableau13[[#This Row],[Code]],'Code Véhicule'!$A$4:$D$185,4,0))</f>
        <v>-</v>
      </c>
      <c r="F303" s="36">
        <v>23306</v>
      </c>
      <c r="G303" s="38" t="s">
        <v>660</v>
      </c>
      <c r="H303" s="38" t="s">
        <v>661</v>
      </c>
      <c r="I303" s="36" t="s">
        <v>304</v>
      </c>
      <c r="J303" s="36" t="s">
        <v>708</v>
      </c>
      <c r="K303" s="36">
        <v>150102</v>
      </c>
      <c r="L303" s="40">
        <v>120</v>
      </c>
      <c r="M303" s="36">
        <v>120</v>
      </c>
      <c r="N303" s="41">
        <v>44076</v>
      </c>
      <c r="O303" s="38"/>
      <c r="P303" s="38"/>
      <c r="Q303" s="176" t="e">
        <f>MONTH([1]!Tableau13[[#This Row],[Date début]])</f>
        <v>#REF!</v>
      </c>
      <c r="R303" s="180" t="e">
        <f>YEAR([1]!Tableau13[[#This Row],[Date début]])</f>
        <v>#REF!</v>
      </c>
    </row>
    <row r="304" spans="1:18" ht="15.75" customHeight="1">
      <c r="A304" s="35">
        <v>44076</v>
      </c>
      <c r="B304" s="36">
        <v>431</v>
      </c>
      <c r="C304" s="37" t="str">
        <f>IF(ISNA(VLOOKUP(Tableau13[[#This Row],[Code]],'Code Véhicule'!$A$4:$C$41,2,TRUE)),"",(VLOOKUP(Tableau13[[#This Row],[Code]],'Code Véhicule'!$A$4:$C$41,2,TRUE)))</f>
        <v>Chariot elevateur</v>
      </c>
      <c r="D304" s="38" t="str">
        <f>IF(ISNA(VLOOKUP(Tableau13[[#This Row],[Code]],'Code Véhicule'!$A$4:$C$185,3,0)),"",VLOOKUP(Tableau13[[#This Row],[Code]],'Code Véhicule'!$A$4:$C$185,3,0))</f>
        <v>Manitou M26-2</v>
      </c>
      <c r="E304" s="36" t="str">
        <f>IF(ISNA(VLOOKUP(Tableau13[[#This Row],[Code]],'Code Véhicule'!$A$4:$D$185,4,0))," ",VLOOKUP(Tableau13[[#This Row],[Code]],'Code Véhicule'!$A$4:$D$185,4,0))</f>
        <v>-</v>
      </c>
      <c r="F304" s="36">
        <v>23307</v>
      </c>
      <c r="G304" s="38" t="s">
        <v>508</v>
      </c>
      <c r="H304" s="38" t="s">
        <v>715</v>
      </c>
      <c r="I304" s="36" t="s">
        <v>304</v>
      </c>
      <c r="J304" s="36" t="s">
        <v>716</v>
      </c>
      <c r="K304" s="36">
        <v>150103</v>
      </c>
      <c r="L304" s="40">
        <v>1140</v>
      </c>
      <c r="M304" s="36">
        <v>1140</v>
      </c>
      <c r="N304" s="41">
        <v>44078</v>
      </c>
      <c r="O304" s="38"/>
      <c r="P304" s="38"/>
      <c r="Q304" s="176" t="e">
        <f>MONTH([1]!Tableau13[[#This Row],[Date début]])</f>
        <v>#REF!</v>
      </c>
      <c r="R304" s="180" t="e">
        <f>YEAR([1]!Tableau13[[#This Row],[Date début]])</f>
        <v>#REF!</v>
      </c>
    </row>
    <row r="305" spans="1:18" ht="15.75" customHeight="1">
      <c r="A305" s="35">
        <v>44076</v>
      </c>
      <c r="B305" s="36">
        <v>401</v>
      </c>
      <c r="C305" s="37" t="str">
        <f>IF(ISNA(VLOOKUP(Tableau13[[#This Row],[Code]],'Code Véhicule'!$A$4:$C$41,2,TRUE)),"",(VLOOKUP(Tableau13[[#This Row],[Code]],'Code Véhicule'!$A$4:$C$41,2,TRUE)))</f>
        <v>Camion</v>
      </c>
      <c r="D305" s="38" t="str">
        <f>IF(ISNA(VLOOKUP(Tableau13[[#This Row],[Code]],'Code Véhicule'!$A$4:$C$185,3,0)),"",VLOOKUP(Tableau13[[#This Row],[Code]],'Code Véhicule'!$A$4:$C$185,3,0))</f>
        <v>ISUZU</v>
      </c>
      <c r="E305" s="36" t="str">
        <f>IF(ISNA(VLOOKUP(Tableau13[[#This Row],[Code]],'Code Véhicule'!$A$4:$D$185,4,0))," ",VLOOKUP(Tableau13[[#This Row],[Code]],'Code Véhicule'!$A$4:$D$185,4,0))</f>
        <v>26128-A-8</v>
      </c>
      <c r="F305" s="36">
        <v>23314</v>
      </c>
      <c r="G305" s="38" t="s">
        <v>1534</v>
      </c>
      <c r="H305" s="38" t="s">
        <v>705</v>
      </c>
      <c r="I305" s="36" t="s">
        <v>304</v>
      </c>
      <c r="J305" s="36" t="s">
        <v>326</v>
      </c>
      <c r="K305" s="36">
        <v>151</v>
      </c>
      <c r="L305" s="40">
        <v>570</v>
      </c>
      <c r="M305" s="36">
        <v>570</v>
      </c>
      <c r="N305" s="41">
        <v>44077</v>
      </c>
      <c r="O305" s="38"/>
      <c r="P305" s="38"/>
      <c r="Q305" s="176" t="e">
        <f>MONTH([1]!Tableau13[[#This Row],[Date début]])</f>
        <v>#REF!</v>
      </c>
      <c r="R305" s="180" t="e">
        <f>YEAR([1]!Tableau13[[#This Row],[Date début]])</f>
        <v>#REF!</v>
      </c>
    </row>
    <row r="306" spans="1:18" ht="75" customHeight="1">
      <c r="A306" s="35">
        <v>44077</v>
      </c>
      <c r="B306" s="36">
        <v>403</v>
      </c>
      <c r="C306" s="37" t="str">
        <f>IF(ISNA(VLOOKUP(Tableau13[[#This Row],[Code]],'Code Véhicule'!$A$4:$C$41,2,TRUE)),"",(VLOOKUP(Tableau13[[#This Row],[Code]],'Code Véhicule'!$A$4:$C$41,2,TRUE)))</f>
        <v>Camion</v>
      </c>
      <c r="D306" s="38" t="str">
        <f>IF(ISNA(VLOOKUP(Tableau13[[#This Row],[Code]],'Code Véhicule'!$A$4:$C$185,3,0)),"",VLOOKUP(Tableau13[[#This Row],[Code]],'Code Véhicule'!$A$4:$C$185,3,0))</f>
        <v>MAN</v>
      </c>
      <c r="E306" s="36" t="str">
        <f>IF(ISNA(VLOOKUP(Tableau13[[#This Row],[Code]],'Code Véhicule'!$A$4:$D$185,4,0))," ",VLOOKUP(Tableau13[[#This Row],[Code]],'Code Véhicule'!$A$4:$D$185,4,0))</f>
        <v>4790-B-8</v>
      </c>
      <c r="F306" s="36">
        <v>23315</v>
      </c>
      <c r="G306" s="38" t="s">
        <v>455</v>
      </c>
      <c r="H306" s="38" t="s">
        <v>657</v>
      </c>
      <c r="I306" s="36" t="s">
        <v>304</v>
      </c>
      <c r="J306" s="36" t="s">
        <v>723</v>
      </c>
      <c r="K306" s="36" t="s">
        <v>724</v>
      </c>
      <c r="L306" s="40">
        <v>3990</v>
      </c>
      <c r="M306" s="36">
        <v>6270</v>
      </c>
      <c r="N306" s="41">
        <v>44088</v>
      </c>
      <c r="O306" s="38"/>
      <c r="P306" s="38"/>
      <c r="Q306" s="176" t="e">
        <f>MONTH([1]!Tableau13[[#This Row],[Date début]])</f>
        <v>#REF!</v>
      </c>
      <c r="R306" s="180" t="e">
        <f>YEAR([1]!Tableau13[[#This Row],[Date début]])</f>
        <v>#REF!</v>
      </c>
    </row>
    <row r="307" spans="1:18" ht="15.75" customHeight="1">
      <c r="A307" s="35">
        <v>44078</v>
      </c>
      <c r="B307" s="36">
        <v>411</v>
      </c>
      <c r="C307" s="37" t="str">
        <f>IF(ISNA(VLOOKUP(Tableau13[[#This Row],[Code]],'Code Véhicule'!$A$4:$C$41,2,TRUE)),"",(VLOOKUP(Tableau13[[#This Row],[Code]],'Code Véhicule'!$A$4:$C$41,2,TRUE)))</f>
        <v>Camion</v>
      </c>
      <c r="D307" s="38" t="str">
        <f>IF(ISNA(VLOOKUP(Tableau13[[#This Row],[Code]],'Code Véhicule'!$A$4:$C$185,3,0)),"",VLOOKUP(Tableau13[[#This Row],[Code]],'Code Véhicule'!$A$4:$C$185,3,0))</f>
        <v>Renault</v>
      </c>
      <c r="E307" s="36" t="str">
        <f>IF(ISNA(VLOOKUP(Tableau13[[#This Row],[Code]],'Code Véhicule'!$A$4:$D$185,4,0))," ",VLOOKUP(Tableau13[[#This Row],[Code]],'Code Véhicule'!$A$4:$D$185,4,0))</f>
        <v>25636-A-13</v>
      </c>
      <c r="F307" s="36">
        <v>23308</v>
      </c>
      <c r="G307" s="38" t="s">
        <v>511</v>
      </c>
      <c r="H307" s="38" t="s">
        <v>687</v>
      </c>
      <c r="I307" s="36" t="s">
        <v>304</v>
      </c>
      <c r="J307" s="36" t="s">
        <v>717</v>
      </c>
      <c r="K307" s="36">
        <v>150106</v>
      </c>
      <c r="L307" s="40">
        <v>120</v>
      </c>
      <c r="M307" s="36">
        <v>120</v>
      </c>
      <c r="N307" s="41">
        <v>44078</v>
      </c>
      <c r="O307" s="38"/>
      <c r="P307" s="38"/>
      <c r="Q307" s="176" t="e">
        <f>MONTH([1]!Tableau13[[#This Row],[Date début]])</f>
        <v>#REF!</v>
      </c>
      <c r="R307" s="180" t="e">
        <f>YEAR([1]!Tableau13[[#This Row],[Date début]])</f>
        <v>#REF!</v>
      </c>
    </row>
    <row r="308" spans="1:18" ht="15.75" customHeight="1">
      <c r="A308" s="35">
        <v>44078</v>
      </c>
      <c r="B308" s="36">
        <v>427</v>
      </c>
      <c r="C308" s="37" t="str">
        <f>IF(ISNA(VLOOKUP(Tableau13[[#This Row],[Code]],'Code Véhicule'!$A$4:$C$41,2,TRUE)),"",(VLOOKUP(Tableau13[[#This Row],[Code]],'Code Véhicule'!$A$4:$C$41,2,TRUE)))</f>
        <v>Chariot elevateur</v>
      </c>
      <c r="D308" s="38" t="str">
        <f>IF(ISNA(VLOOKUP(Tableau13[[#This Row],[Code]],'Code Véhicule'!$A$4:$C$185,3,0)),"",VLOOKUP(Tableau13[[#This Row],[Code]],'Code Véhicule'!$A$4:$C$185,3,0))</f>
        <v>Linde H30</v>
      </c>
      <c r="E308" s="36" t="str">
        <f>IF(ISNA(VLOOKUP(Tableau13[[#This Row],[Code]],'Code Véhicule'!$A$4:$D$185,4,0))," ",VLOOKUP(Tableau13[[#This Row],[Code]],'Code Véhicule'!$A$4:$D$185,4,0))</f>
        <v>-</v>
      </c>
      <c r="F308" s="36">
        <v>23309</v>
      </c>
      <c r="G308" s="38" t="s">
        <v>556</v>
      </c>
      <c r="H308" s="38" t="s">
        <v>613</v>
      </c>
      <c r="I308" s="36" t="s">
        <v>304</v>
      </c>
      <c r="J308" s="36" t="s">
        <v>357</v>
      </c>
      <c r="K308" s="36">
        <v>150110</v>
      </c>
      <c r="L308" s="40">
        <v>30</v>
      </c>
      <c r="M308" s="36">
        <v>30</v>
      </c>
      <c r="N308" s="41">
        <v>44078</v>
      </c>
      <c r="O308" s="38"/>
      <c r="P308" s="38"/>
      <c r="Q308" s="176" t="e">
        <f>MONTH([1]!Tableau13[[#This Row],[Date début]])</f>
        <v>#REF!</v>
      </c>
      <c r="R308" s="180" t="e">
        <f>YEAR([1]!Tableau13[[#This Row],[Date début]])</f>
        <v>#REF!</v>
      </c>
    </row>
    <row r="309" spans="1:18" ht="60" customHeight="1">
      <c r="A309" s="35">
        <v>44081</v>
      </c>
      <c r="B309" s="36">
        <v>422</v>
      </c>
      <c r="C309" s="37" t="str">
        <f>IF(ISNA(VLOOKUP(Tableau13[[#This Row],[Code]],'Code Véhicule'!$A$4:$C$41,2,TRUE)),"",(VLOOKUP(Tableau13[[#This Row],[Code]],'Code Véhicule'!$A$4:$C$41,2,TRUE)))</f>
        <v>Chariot elevateur</v>
      </c>
      <c r="D309" s="38" t="str">
        <f>IF(ISNA(VLOOKUP(Tableau13[[#This Row],[Code]],'Code Véhicule'!$A$4:$C$185,3,0)),"",VLOOKUP(Tableau13[[#This Row],[Code]],'Code Véhicule'!$A$4:$C$185,3,0))</f>
        <v>Fenwick LINDE 25</v>
      </c>
      <c r="E309" s="36" t="str">
        <f>IF(ISNA(VLOOKUP(Tableau13[[#This Row],[Code]],'Code Véhicule'!$A$4:$D$185,4,0))," ",VLOOKUP(Tableau13[[#This Row],[Code]],'Code Véhicule'!$A$4:$D$185,4,0))</f>
        <v>-</v>
      </c>
      <c r="F309" s="36">
        <v>23336</v>
      </c>
      <c r="G309" s="38" t="s">
        <v>493</v>
      </c>
      <c r="H309" s="38" t="s">
        <v>749</v>
      </c>
      <c r="I309" s="36" t="s">
        <v>304</v>
      </c>
      <c r="J309" s="36" t="s">
        <v>750</v>
      </c>
      <c r="K309" s="36" t="s">
        <v>751</v>
      </c>
      <c r="L309" s="40"/>
      <c r="M309" s="36"/>
      <c r="N309" s="36"/>
      <c r="O309" s="38"/>
      <c r="P309" s="38"/>
      <c r="Q309" s="176" t="e">
        <f>MONTH([1]!Tableau13[[#This Row],[Date début]])</f>
        <v>#REF!</v>
      </c>
      <c r="R309" s="180" t="e">
        <f>YEAR([1]!Tableau13[[#This Row],[Date début]])</f>
        <v>#REF!</v>
      </c>
    </row>
    <row r="310" spans="1:18" ht="30" customHeight="1">
      <c r="A310" s="35">
        <v>44084</v>
      </c>
      <c r="B310" s="36">
        <v>427</v>
      </c>
      <c r="C310" s="37" t="str">
        <f>IF(ISNA(VLOOKUP(Tableau13[[#This Row],[Code]],'Code Véhicule'!$A$4:$C$41,2,TRUE)),"",(VLOOKUP(Tableau13[[#This Row],[Code]],'Code Véhicule'!$A$4:$C$41,2,TRUE)))</f>
        <v>Chariot elevateur</v>
      </c>
      <c r="D310" s="38" t="str">
        <f>IF(ISNA(VLOOKUP(Tableau13[[#This Row],[Code]],'Code Véhicule'!$A$4:$C$185,3,0)),"",VLOOKUP(Tableau13[[#This Row],[Code]],'Code Véhicule'!$A$4:$C$185,3,0))</f>
        <v>Linde H30</v>
      </c>
      <c r="E310" s="36" t="str">
        <f>IF(ISNA(VLOOKUP(Tableau13[[#This Row],[Code]],'Code Véhicule'!$A$4:$D$185,4,0))," ",VLOOKUP(Tableau13[[#This Row],[Code]],'Code Véhicule'!$A$4:$D$185,4,0))</f>
        <v>-</v>
      </c>
      <c r="F310" s="36">
        <v>23318</v>
      </c>
      <c r="G310" s="38" t="s">
        <v>393</v>
      </c>
      <c r="H310" s="38" t="s">
        <v>608</v>
      </c>
      <c r="I310" s="36" t="s">
        <v>302</v>
      </c>
      <c r="J310" s="36" t="s">
        <v>728</v>
      </c>
      <c r="K310" s="36">
        <v>150135</v>
      </c>
      <c r="L310" s="40">
        <v>60</v>
      </c>
      <c r="M310" s="36">
        <v>60</v>
      </c>
      <c r="N310" s="41">
        <v>44084</v>
      </c>
      <c r="O310" s="38"/>
      <c r="P310" s="38"/>
      <c r="Q310" s="176" t="e">
        <f>MONTH([1]!Tableau13[[#This Row],[Date début]])</f>
        <v>#REF!</v>
      </c>
      <c r="R310" s="180" t="e">
        <f>YEAR([1]!Tableau13[[#This Row],[Date début]])</f>
        <v>#REF!</v>
      </c>
    </row>
    <row r="311" spans="1:18" ht="30" customHeight="1">
      <c r="A311" s="35">
        <v>44085</v>
      </c>
      <c r="B311" s="36">
        <v>417</v>
      </c>
      <c r="C311" s="37" t="str">
        <f>IF(ISNA(VLOOKUP(Tableau13[[#This Row],[Code]],'Code Véhicule'!$A$4:$C$41,2,TRUE)),"",(VLOOKUP(Tableau13[[#This Row],[Code]],'Code Véhicule'!$A$4:$C$41,2,TRUE)))</f>
        <v>Voiture de fonction</v>
      </c>
      <c r="D311" s="38" t="str">
        <f>IF(ISNA(VLOOKUP(Tableau13[[#This Row],[Code]],'Code Véhicule'!$A$4:$C$185,3,0)),"",VLOOKUP(Tableau13[[#This Row],[Code]],'Code Véhicule'!$A$4:$C$185,3,0))</f>
        <v>Berlingo</v>
      </c>
      <c r="E311" s="36" t="str">
        <f>IF(ISNA(VLOOKUP(Tableau13[[#This Row],[Code]],'Code Véhicule'!$A$4:$D$185,4,0))," ",VLOOKUP(Tableau13[[#This Row],[Code]],'Code Véhicule'!$A$4:$D$185,4,0))</f>
        <v>981-A-73</v>
      </c>
      <c r="F311" s="36">
        <v>23319</v>
      </c>
      <c r="G311" s="38" t="s">
        <v>353</v>
      </c>
      <c r="H311" s="38" t="s">
        <v>729</v>
      </c>
      <c r="I311" s="36" t="s">
        <v>504</v>
      </c>
      <c r="J311" s="36" t="s">
        <v>730</v>
      </c>
      <c r="K311" s="36">
        <v>150143</v>
      </c>
      <c r="L311" s="40">
        <v>120</v>
      </c>
      <c r="M311" s="36">
        <v>120</v>
      </c>
      <c r="N311" s="41">
        <v>44085</v>
      </c>
      <c r="O311" s="38"/>
      <c r="P311" s="38"/>
      <c r="Q311" s="176" t="e">
        <f>MONTH([1]!Tableau13[[#This Row],[Date début]])</f>
        <v>#REF!</v>
      </c>
      <c r="R311" s="180" t="e">
        <f>YEAR([1]!Tableau13[[#This Row],[Date début]])</f>
        <v>#REF!</v>
      </c>
    </row>
    <row r="312" spans="1:18" ht="15.75" customHeight="1">
      <c r="A312" s="35">
        <v>44086</v>
      </c>
      <c r="B312" s="36">
        <v>406</v>
      </c>
      <c r="C312" s="37" t="str">
        <f>IF(ISNA(VLOOKUP(Tableau13[[#This Row],[Code]],'Code Véhicule'!$A$4:$C$41,2,TRUE)),"",(VLOOKUP(Tableau13[[#This Row],[Code]],'Code Véhicule'!$A$4:$C$41,2,TRUE)))</f>
        <v>Semi remorque</v>
      </c>
      <c r="D312" s="38" t="str">
        <f>IF(ISNA(VLOOKUP(Tableau13[[#This Row],[Code]],'Code Véhicule'!$A$4:$C$185,3,0)),"",VLOOKUP(Tableau13[[#This Row],[Code]],'Code Véhicule'!$A$4:$C$185,3,0))</f>
        <v>VOLVO</v>
      </c>
      <c r="E312" s="36" t="str">
        <f>IF(ISNA(VLOOKUP(Tableau13[[#This Row],[Code]],'Code Véhicule'!$A$4:$D$185,4,0))," ",VLOOKUP(Tableau13[[#This Row],[Code]],'Code Véhicule'!$A$4:$D$185,4,0))</f>
        <v>70352-A-6</v>
      </c>
      <c r="F312" s="36">
        <v>23320</v>
      </c>
      <c r="G312" s="38" t="s">
        <v>731</v>
      </c>
      <c r="H312" s="38" t="s">
        <v>732</v>
      </c>
      <c r="I312" s="36" t="s">
        <v>304</v>
      </c>
      <c r="J312" s="36" t="s">
        <v>733</v>
      </c>
      <c r="K312" s="36">
        <v>150144</v>
      </c>
      <c r="L312" s="40">
        <v>120</v>
      </c>
      <c r="M312" s="36">
        <v>120</v>
      </c>
      <c r="N312" s="41">
        <v>44086</v>
      </c>
      <c r="O312" s="38"/>
      <c r="P312" s="38"/>
      <c r="Q312" s="176" t="e">
        <f>MONTH([1]!Tableau13[[#This Row],[Date début]])</f>
        <v>#REF!</v>
      </c>
      <c r="R312" s="180" t="e">
        <f>YEAR([1]!Tableau13[[#This Row],[Date début]])</f>
        <v>#REF!</v>
      </c>
    </row>
    <row r="313" spans="1:18" ht="30" customHeight="1">
      <c r="A313" s="35">
        <v>44086</v>
      </c>
      <c r="B313" s="36">
        <v>407</v>
      </c>
      <c r="C313" s="37" t="str">
        <f>IF(ISNA(VLOOKUP(Tableau13[[#This Row],[Code]],'Code Véhicule'!$A$4:$C$41,2,TRUE)),"",(VLOOKUP(Tableau13[[#This Row],[Code]],'Code Véhicule'!$A$4:$C$41,2,TRUE)))</f>
        <v>Semi remorque</v>
      </c>
      <c r="D313" s="38" t="str">
        <f>IF(ISNA(VLOOKUP(Tableau13[[#This Row],[Code]],'Code Véhicule'!$A$4:$C$185,3,0)),"",VLOOKUP(Tableau13[[#This Row],[Code]],'Code Véhicule'!$A$4:$C$185,3,0))</f>
        <v>MAN</v>
      </c>
      <c r="E313" s="36" t="str">
        <f>IF(ISNA(VLOOKUP(Tableau13[[#This Row],[Code]],'Code Véhicule'!$A$4:$D$185,4,0))," ",VLOOKUP(Tableau13[[#This Row],[Code]],'Code Véhicule'!$A$4:$D$185,4,0))</f>
        <v>706-A-73</v>
      </c>
      <c r="F313" s="36">
        <v>23321</v>
      </c>
      <c r="G313" s="38" t="s">
        <v>393</v>
      </c>
      <c r="H313" s="38" t="s">
        <v>608</v>
      </c>
      <c r="I313" s="36" t="s">
        <v>304</v>
      </c>
      <c r="J313" s="36" t="s">
        <v>734</v>
      </c>
      <c r="K313" s="36">
        <v>150146</v>
      </c>
      <c r="L313" s="40">
        <v>120</v>
      </c>
      <c r="M313" s="36">
        <v>120</v>
      </c>
      <c r="N313" s="41">
        <v>44086</v>
      </c>
      <c r="O313" s="38"/>
      <c r="P313" s="38"/>
      <c r="Q313" s="176" t="e">
        <f>MONTH([1]!Tableau13[[#This Row],[Date début]])</f>
        <v>#REF!</v>
      </c>
      <c r="R313" s="180" t="e">
        <f>YEAR([1]!Tableau13[[#This Row],[Date début]])</f>
        <v>#REF!</v>
      </c>
    </row>
    <row r="314" spans="1:18" ht="15.75" customHeight="1">
      <c r="A314" s="35">
        <v>44088</v>
      </c>
      <c r="B314" s="36">
        <v>439</v>
      </c>
      <c r="C314" s="37" t="str">
        <f>IF(ISNA(VLOOKUP(Tableau13[[#This Row],[Code]],'Code Véhicule'!$A$4:$C$41,2,TRUE)),"",(VLOOKUP(Tableau13[[#This Row],[Code]],'Code Véhicule'!$A$4:$C$41,2,TRUE)))</f>
        <v>Semi remorque</v>
      </c>
      <c r="D314" s="38" t="str">
        <f>IF(ISNA(VLOOKUP(Tableau13[[#This Row],[Code]],'Code Véhicule'!$A$4:$C$185,3,0)),"",VLOOKUP(Tableau13[[#This Row],[Code]],'Code Véhicule'!$A$4:$C$185,3,0))</f>
        <v>VOLVO</v>
      </c>
      <c r="E314" s="36" t="str">
        <f>IF(ISNA(VLOOKUP(Tableau13[[#This Row],[Code]],'Code Véhicule'!$A$4:$D$185,4,0))," ",VLOOKUP(Tableau13[[#This Row],[Code]],'Code Véhicule'!$A$4:$D$185,4,0))</f>
        <v xml:space="preserve">17886-A-73 </v>
      </c>
      <c r="F314" s="36">
        <v>23324</v>
      </c>
      <c r="G314" s="38" t="s">
        <v>560</v>
      </c>
      <c r="H314" s="38" t="s">
        <v>604</v>
      </c>
      <c r="I314" s="36" t="s">
        <v>304</v>
      </c>
      <c r="J314" s="36" t="s">
        <v>372</v>
      </c>
      <c r="K314" s="36">
        <v>151551</v>
      </c>
      <c r="L314" s="40">
        <v>120</v>
      </c>
      <c r="M314" s="36">
        <v>120</v>
      </c>
      <c r="N314" s="41">
        <v>44088</v>
      </c>
      <c r="O314" s="38"/>
      <c r="P314" s="38"/>
      <c r="Q314" s="176" t="e">
        <f>MONTH([1]!Tableau13[[#This Row],[Date début]])</f>
        <v>#REF!</v>
      </c>
      <c r="R314" s="180" t="e">
        <f>YEAR([1]!Tableau13[[#This Row],[Date début]])</f>
        <v>#REF!</v>
      </c>
    </row>
    <row r="315" spans="1:18" ht="30" customHeight="1">
      <c r="A315" s="35">
        <v>44089</v>
      </c>
      <c r="B315" s="36">
        <v>438</v>
      </c>
      <c r="C315" s="37" t="str">
        <f>IF(ISNA(VLOOKUP(Tableau13[[#This Row],[Code]],'Code Véhicule'!$A$4:$C$41,2,TRUE)),"",(VLOOKUP(Tableau13[[#This Row],[Code]],'Code Véhicule'!$A$4:$C$41,2,TRUE)))</f>
        <v>Semi remorque</v>
      </c>
      <c r="D315" s="38" t="str">
        <f>IF(ISNA(VLOOKUP(Tableau13[[#This Row],[Code]],'Code Véhicule'!$A$4:$C$185,3,0)),"",VLOOKUP(Tableau13[[#This Row],[Code]],'Code Véhicule'!$A$4:$C$185,3,0))</f>
        <v>VOLVO</v>
      </c>
      <c r="E315" s="36" t="str">
        <f>IF(ISNA(VLOOKUP(Tableau13[[#This Row],[Code]],'Code Véhicule'!$A$4:$D$185,4,0))," ",VLOOKUP(Tableau13[[#This Row],[Code]],'Code Véhicule'!$A$4:$D$185,4,0))</f>
        <v xml:space="preserve">17885-A-73 </v>
      </c>
      <c r="F315" s="36">
        <v>23323</v>
      </c>
      <c r="G315" s="38" t="s">
        <v>397</v>
      </c>
      <c r="H315" s="38" t="s">
        <v>649</v>
      </c>
      <c r="I315" s="36" t="s">
        <v>304</v>
      </c>
      <c r="J315" s="36" t="s">
        <v>735</v>
      </c>
      <c r="K315" s="36"/>
      <c r="L315" s="40">
        <v>240</v>
      </c>
      <c r="M315" s="36">
        <v>240</v>
      </c>
      <c r="N315" s="41">
        <v>44089</v>
      </c>
      <c r="O315" s="38"/>
      <c r="P315" s="38"/>
      <c r="Q315" s="176" t="e">
        <f>MONTH([1]!Tableau13[[#This Row],[Date début]])</f>
        <v>#REF!</v>
      </c>
      <c r="R315" s="180" t="e">
        <f>YEAR([1]!Tableau13[[#This Row],[Date début]])</f>
        <v>#REF!</v>
      </c>
    </row>
    <row r="316" spans="1:18" ht="15.75" customHeight="1">
      <c r="A316" s="35">
        <v>44090</v>
      </c>
      <c r="B316" s="36">
        <v>434</v>
      </c>
      <c r="C316" s="37" t="str">
        <f>IF(ISNA(VLOOKUP(Tableau13[[#This Row],[Code]],'Code Véhicule'!$A$4:$C$41,2,TRUE)),"",(VLOOKUP(Tableau13[[#This Row],[Code]],'Code Véhicule'!$A$4:$C$41,2,TRUE)))</f>
        <v>Chariot elevateur</v>
      </c>
      <c r="D316" s="38" t="str">
        <f>IF(ISNA(VLOOKUP(Tableau13[[#This Row],[Code]],'Code Véhicule'!$A$4:$C$185,3,0)),"",VLOOKUP(Tableau13[[#This Row],[Code]],'Code Véhicule'!$A$4:$C$185,3,0))</f>
        <v>Linde H30D</v>
      </c>
      <c r="E316" s="36" t="str">
        <f>IF(ISNA(VLOOKUP(Tableau13[[#This Row],[Code]],'Code Véhicule'!$A$4:$D$185,4,0))," ",VLOOKUP(Tableau13[[#This Row],[Code]],'Code Véhicule'!$A$4:$D$185,4,0))</f>
        <v>-</v>
      </c>
      <c r="F316" s="36">
        <v>23325</v>
      </c>
      <c r="G316" s="38" t="s">
        <v>511</v>
      </c>
      <c r="H316" s="38" t="s">
        <v>672</v>
      </c>
      <c r="I316" s="36" t="s">
        <v>304</v>
      </c>
      <c r="J316" s="36" t="s">
        <v>864</v>
      </c>
      <c r="K316" s="36">
        <v>151562</v>
      </c>
      <c r="L316" s="40">
        <v>60</v>
      </c>
      <c r="M316" s="36">
        <v>60</v>
      </c>
      <c r="N316" s="41">
        <v>44090</v>
      </c>
      <c r="O316" s="38"/>
      <c r="P316" s="38"/>
      <c r="Q316" s="176" t="e">
        <f>MONTH([1]!Tableau13[[#This Row],[Date début]])</f>
        <v>#REF!</v>
      </c>
      <c r="R316" s="180" t="e">
        <f>YEAR([1]!Tableau13[[#This Row],[Date début]])</f>
        <v>#REF!</v>
      </c>
    </row>
    <row r="317" spans="1:18" ht="30" customHeight="1">
      <c r="A317" s="35">
        <v>44092</v>
      </c>
      <c r="B317" s="36">
        <v>7</v>
      </c>
      <c r="C317" s="37" t="str">
        <f>IF(ISNA(VLOOKUP(Tableau13[[#This Row],[Code]],'Code Véhicule'!$A$4:$C$41,2,TRUE)),"",(VLOOKUP(Tableau13[[#This Row],[Code]],'Code Véhicule'!$A$4:$C$41,2,TRUE)))</f>
        <v>Voiture de fonction</v>
      </c>
      <c r="D317" s="38" t="str">
        <f>IF(ISNA(VLOOKUP(Tableau13[[#This Row],[Code]],'Code Véhicule'!$A$4:$C$185,3,0)),"",VLOOKUP(Tableau13[[#This Row],[Code]],'Code Véhicule'!$A$4:$C$185,3,0))</f>
        <v>Berlingo</v>
      </c>
      <c r="E317" s="36" t="str">
        <f>IF(ISNA(VLOOKUP(Tableau13[[#This Row],[Code]],'Code Véhicule'!$A$4:$D$185,4,0))," ",VLOOKUP(Tableau13[[#This Row],[Code]],'Code Véhicule'!$A$4:$D$185,4,0))</f>
        <v>50313-A-6</v>
      </c>
      <c r="F317" s="36">
        <v>23326</v>
      </c>
      <c r="G317" s="38" t="s">
        <v>393</v>
      </c>
      <c r="H317" s="38" t="s">
        <v>608</v>
      </c>
      <c r="I317" s="36" t="s">
        <v>504</v>
      </c>
      <c r="J317" s="36" t="s">
        <v>736</v>
      </c>
      <c r="K317" s="36">
        <v>151574</v>
      </c>
      <c r="L317" s="40">
        <v>120</v>
      </c>
      <c r="M317" s="36">
        <v>120</v>
      </c>
      <c r="N317" s="41">
        <v>44092</v>
      </c>
      <c r="O317" s="38"/>
      <c r="P317" s="38"/>
      <c r="Q317" s="176" t="e">
        <f>MONTH([1]!Tableau13[[#This Row],[Date début]])</f>
        <v>#REF!</v>
      </c>
      <c r="R317" s="180" t="e">
        <f>YEAR([1]!Tableau13[[#This Row],[Date début]])</f>
        <v>#REF!</v>
      </c>
    </row>
    <row r="318" spans="1:18" ht="120" customHeight="1">
      <c r="A318" s="35">
        <v>44093</v>
      </c>
      <c r="B318" s="36">
        <v>410</v>
      </c>
      <c r="C318" s="37" t="str">
        <f>IF(ISNA(VLOOKUP(Tableau13[[#This Row],[Code]],'Code Véhicule'!$A$4:$C$41,2,TRUE)),"",(VLOOKUP(Tableau13[[#This Row],[Code]],'Code Véhicule'!$A$4:$C$41,2,TRUE)))</f>
        <v>Semi remorque</v>
      </c>
      <c r="D318" s="38" t="str">
        <f>IF(ISNA(VLOOKUP(Tableau13[[#This Row],[Code]],'Code Véhicule'!$A$4:$C$185,3,0)),"",VLOOKUP(Tableau13[[#This Row],[Code]],'Code Véhicule'!$A$4:$C$185,3,0))</f>
        <v>MAN</v>
      </c>
      <c r="E318" s="36" t="str">
        <f>IF(ISNA(VLOOKUP(Tableau13[[#This Row],[Code]],'Code Véhicule'!$A$4:$D$185,4,0))," ",VLOOKUP(Tableau13[[#This Row],[Code]],'Code Véhicule'!$A$4:$D$185,4,0))</f>
        <v xml:space="preserve">28659-D-1 </v>
      </c>
      <c r="F318" s="36">
        <v>23312</v>
      </c>
      <c r="G318" s="38" t="s">
        <v>493</v>
      </c>
      <c r="H318" s="38" t="s">
        <v>721</v>
      </c>
      <c r="I318" s="36" t="s">
        <v>304</v>
      </c>
      <c r="J318" s="36" t="s">
        <v>722</v>
      </c>
      <c r="K318" s="36" t="s">
        <v>767</v>
      </c>
      <c r="L318" s="40">
        <v>2280</v>
      </c>
      <c r="M318" s="36">
        <v>3420</v>
      </c>
      <c r="N318" s="41">
        <v>44098</v>
      </c>
      <c r="O318" s="38"/>
      <c r="P318" s="38"/>
      <c r="Q318" s="176" t="e">
        <f>MONTH([1]!Tableau13[[#This Row],[Date début]])</f>
        <v>#REF!</v>
      </c>
      <c r="R318" s="180" t="e">
        <f>YEAR([1]!Tableau13[[#This Row],[Date début]])</f>
        <v>#REF!</v>
      </c>
    </row>
    <row r="319" spans="1:18" ht="15.75" customHeight="1">
      <c r="A319" s="35">
        <v>44093</v>
      </c>
      <c r="B319" s="36"/>
      <c r="C319" s="37" t="s">
        <v>472</v>
      </c>
      <c r="D319" s="38" t="str">
        <f>IF(ISNA(VLOOKUP(Tableau13[[#This Row],[Code]],'Code Véhicule'!$A$4:$C$185,3,0)),"",VLOOKUP(Tableau13[[#This Row],[Code]],'Code Véhicule'!$A$4:$C$185,3,0))</f>
        <v/>
      </c>
      <c r="E319" s="36" t="str">
        <f>IF(ISNA(VLOOKUP(Tableau13[[#This Row],[Code]],'Code Véhicule'!$A$4:$D$185,4,0))," ",VLOOKUP(Tableau13[[#This Row],[Code]],'Code Véhicule'!$A$4:$D$185,4,0))</f>
        <v xml:space="preserve"> </v>
      </c>
      <c r="F319" s="36">
        <v>23328</v>
      </c>
      <c r="G319" s="38" t="s">
        <v>393</v>
      </c>
      <c r="H319" s="38" t="s">
        <v>608</v>
      </c>
      <c r="I319" s="36" t="s">
        <v>304</v>
      </c>
      <c r="J319" s="36" t="s">
        <v>739</v>
      </c>
      <c r="K319" s="36">
        <v>151577</v>
      </c>
      <c r="L319" s="40">
        <v>120</v>
      </c>
      <c r="M319" s="36">
        <v>120</v>
      </c>
      <c r="N319" s="41">
        <v>44093</v>
      </c>
      <c r="O319" s="38"/>
      <c r="P319" s="38"/>
      <c r="Q319" s="176" t="e">
        <f>MONTH([1]!Tableau13[[#This Row],[Date début]])</f>
        <v>#REF!</v>
      </c>
      <c r="R319" s="180" t="e">
        <f>YEAR([1]!Tableau13[[#This Row],[Date début]])</f>
        <v>#REF!</v>
      </c>
    </row>
    <row r="320" spans="1:18" ht="15.75" customHeight="1">
      <c r="A320" s="35">
        <v>44095</v>
      </c>
      <c r="B320" s="36">
        <v>411</v>
      </c>
      <c r="C320" s="37" t="str">
        <f>IF(ISNA(VLOOKUP(Tableau13[[#This Row],[Code]],'Code Véhicule'!$A$4:$C$41,2,TRUE)),"",(VLOOKUP(Tableau13[[#This Row],[Code]],'Code Véhicule'!$A$4:$C$41,2,TRUE)))</f>
        <v>Camion</v>
      </c>
      <c r="D320" s="38" t="str">
        <f>IF(ISNA(VLOOKUP(Tableau13[[#This Row],[Code]],'Code Véhicule'!$A$4:$C$185,3,0)),"",VLOOKUP(Tableau13[[#This Row],[Code]],'Code Véhicule'!$A$4:$C$185,3,0))</f>
        <v>Renault</v>
      </c>
      <c r="E320" s="36" t="str">
        <f>IF(ISNA(VLOOKUP(Tableau13[[#This Row],[Code]],'Code Véhicule'!$A$4:$D$185,4,0))," ",VLOOKUP(Tableau13[[#This Row],[Code]],'Code Véhicule'!$A$4:$D$185,4,0))</f>
        <v>25636-A-13</v>
      </c>
      <c r="F320" s="36">
        <v>23327</v>
      </c>
      <c r="G320" s="38" t="s">
        <v>703</v>
      </c>
      <c r="H320" s="38" t="s">
        <v>737</v>
      </c>
      <c r="I320" s="36" t="s">
        <v>304</v>
      </c>
      <c r="J320" s="36" t="s">
        <v>738</v>
      </c>
      <c r="K320" s="36">
        <v>151573</v>
      </c>
      <c r="L320" s="40">
        <v>180</v>
      </c>
      <c r="M320" s="36">
        <v>180</v>
      </c>
      <c r="N320" s="41">
        <v>44092</v>
      </c>
      <c r="O320" s="38"/>
      <c r="P320" s="38"/>
      <c r="Q320" s="176" t="e">
        <f>MONTH([1]!Tableau13[[#This Row],[Date début]])</f>
        <v>#REF!</v>
      </c>
      <c r="R320" s="180" t="e">
        <f>YEAR([1]!Tableau13[[#This Row],[Date début]])</f>
        <v>#REF!</v>
      </c>
    </row>
    <row r="321" spans="1:18" ht="15.75" customHeight="1">
      <c r="A321" s="35">
        <v>44095</v>
      </c>
      <c r="B321" s="36">
        <v>407</v>
      </c>
      <c r="C321" s="37" t="str">
        <f>IF(ISNA(VLOOKUP(Tableau13[[#This Row],[Code]],'Code Véhicule'!$A$4:$C$41,2,TRUE)),"",(VLOOKUP(Tableau13[[#This Row],[Code]],'Code Véhicule'!$A$4:$C$41,2,TRUE)))</f>
        <v>Semi remorque</v>
      </c>
      <c r="D321" s="38" t="str">
        <f>IF(ISNA(VLOOKUP(Tableau13[[#This Row],[Code]],'Code Véhicule'!$A$4:$C$185,3,0)),"",VLOOKUP(Tableau13[[#This Row],[Code]],'Code Véhicule'!$A$4:$C$185,3,0))</f>
        <v>MAN</v>
      </c>
      <c r="E321" s="36" t="str">
        <f>IF(ISNA(VLOOKUP(Tableau13[[#This Row],[Code]],'Code Véhicule'!$A$4:$D$185,4,0))," ",VLOOKUP(Tableau13[[#This Row],[Code]],'Code Véhicule'!$A$4:$D$185,4,0))</f>
        <v>706-A-73</v>
      </c>
      <c r="F321" s="36">
        <v>23329</v>
      </c>
      <c r="G321" s="38" t="s">
        <v>560</v>
      </c>
      <c r="H321" s="38" t="s">
        <v>604</v>
      </c>
      <c r="I321" s="36" t="s">
        <v>304</v>
      </c>
      <c r="J321" s="36" t="s">
        <v>372</v>
      </c>
      <c r="K321" s="36">
        <v>151578</v>
      </c>
      <c r="L321" s="40">
        <v>120</v>
      </c>
      <c r="M321" s="36">
        <v>120</v>
      </c>
      <c r="N321" s="41">
        <v>44095</v>
      </c>
      <c r="O321" s="38"/>
      <c r="P321" s="38"/>
      <c r="Q321" s="176" t="e">
        <f>MONTH([1]!Tableau13[[#This Row],[Date début]])</f>
        <v>#REF!</v>
      </c>
      <c r="R321" s="180" t="e">
        <f>YEAR([1]!Tableau13[[#This Row],[Date début]])</f>
        <v>#REF!</v>
      </c>
    </row>
    <row r="322" spans="1:18" ht="30">
      <c r="A322" s="35">
        <v>44095</v>
      </c>
      <c r="B322" s="36">
        <v>471</v>
      </c>
      <c r="C322" s="37" t="str">
        <f>IF(ISNA(VLOOKUP(Tableau13[[#This Row],[Code]],'Code Véhicule'!$A$4:$C$41,2,TRUE)),"",(VLOOKUP(Tableau13[[#This Row],[Code]],'Code Véhicule'!$A$4:$C$41,2,TRUE)))</f>
        <v>Bus de transport</v>
      </c>
      <c r="D322" s="38" t="str">
        <f>IF(ISNA(VLOOKUP(Tableau13[[#This Row],[Code]],'Code Véhicule'!$A$4:$C$185,3,0)),"",VLOOKUP(Tableau13[[#This Row],[Code]],'Code Véhicule'!$A$4:$C$185,3,0))</f>
        <v xml:space="preserve">Hyundai County </v>
      </c>
      <c r="E322" s="36" t="str">
        <f>IF(ISNA(VLOOKUP(Tableau13[[#This Row],[Code]],'Code Véhicule'!$A$4:$D$185,4,0))," ",VLOOKUP(Tableau13[[#This Row],[Code]],'Code Véhicule'!$A$4:$D$185,4,0))</f>
        <v>18516-A-73</v>
      </c>
      <c r="F322" s="36">
        <v>23330</v>
      </c>
      <c r="G322" s="38" t="s">
        <v>397</v>
      </c>
      <c r="H322" s="38" t="s">
        <v>611</v>
      </c>
      <c r="I322" s="36" t="s">
        <v>304</v>
      </c>
      <c r="J322" s="36" t="s">
        <v>740</v>
      </c>
      <c r="K322" s="36" t="s">
        <v>741</v>
      </c>
      <c r="L322" s="40">
        <v>30</v>
      </c>
      <c r="M322" s="36">
        <v>30</v>
      </c>
      <c r="N322" s="41">
        <v>44095</v>
      </c>
      <c r="O322" s="38"/>
      <c r="P322" s="38"/>
      <c r="Q322" s="176" t="e">
        <f>MONTH([1]!Tableau13[[#This Row],[Date début]])</f>
        <v>#REF!</v>
      </c>
      <c r="R322" s="180" t="e">
        <f>YEAR([1]!Tableau13[[#This Row],[Date début]])</f>
        <v>#REF!</v>
      </c>
    </row>
    <row r="323" spans="1:18" ht="30" customHeight="1">
      <c r="A323" s="35">
        <v>44096</v>
      </c>
      <c r="B323" s="36">
        <v>481</v>
      </c>
      <c r="C323" s="37" t="str">
        <f>IF(ISNA(VLOOKUP(Tableau13[[#This Row],[Code]],'Code Véhicule'!$A$4:$C$41,2,TRUE)),"",(VLOOKUP(Tableau13[[#This Row],[Code]],'Code Véhicule'!$A$4:$C$41,2,TRUE)))</f>
        <v>Camion</v>
      </c>
      <c r="D323" s="38" t="str">
        <f>IF(ISNA(VLOOKUP(Tableau13[[#This Row],[Code]],'Code Véhicule'!$A$4:$C$185,3,0)),"",VLOOKUP(Tableau13[[#This Row],[Code]],'Code Véhicule'!$A$4:$C$185,3,0))</f>
        <v>VOLVO</v>
      </c>
      <c r="E323" s="36" t="str">
        <f>IF(ISNA(VLOOKUP(Tableau13[[#This Row],[Code]],'Code Véhicule'!$A$4:$D$185,4,0))," ",VLOOKUP(Tableau13[[#This Row],[Code]],'Code Véhicule'!$A$4:$D$185,4,0))</f>
        <v>22300-A-73</v>
      </c>
      <c r="F323" s="36">
        <v>23331</v>
      </c>
      <c r="G323" s="38" t="s">
        <v>353</v>
      </c>
      <c r="H323" s="38" t="s">
        <v>729</v>
      </c>
      <c r="I323" s="36" t="s">
        <v>304</v>
      </c>
      <c r="J323" s="36" t="s">
        <v>742</v>
      </c>
      <c r="K323" s="36">
        <v>151582</v>
      </c>
      <c r="L323" s="40">
        <v>240</v>
      </c>
      <c r="M323" s="36">
        <v>240</v>
      </c>
      <c r="N323" s="41">
        <v>44096</v>
      </c>
      <c r="O323" s="38"/>
      <c r="P323" s="38"/>
      <c r="Q323" s="176" t="e">
        <f>MONTH([1]!Tableau13[[#This Row],[Date début]])</f>
        <v>#REF!</v>
      </c>
      <c r="R323" s="180" t="e">
        <f>YEAR([1]!Tableau13[[#This Row],[Date début]])</f>
        <v>#REF!</v>
      </c>
    </row>
    <row r="324" spans="1:18" ht="45" customHeight="1">
      <c r="A324" s="35">
        <v>44096</v>
      </c>
      <c r="B324" s="36">
        <v>481</v>
      </c>
      <c r="C324" s="37" t="str">
        <f>IF(ISNA(VLOOKUP(Tableau13[[#This Row],[Code]],'Code Véhicule'!$A$4:$C$41,2,TRUE)),"",(VLOOKUP(Tableau13[[#This Row],[Code]],'Code Véhicule'!$A$4:$C$41,2,TRUE)))</f>
        <v>Camion</v>
      </c>
      <c r="D324" s="38" t="str">
        <f>IF(ISNA(VLOOKUP(Tableau13[[#This Row],[Code]],'Code Véhicule'!$A$4:$C$185,3,0)),"",VLOOKUP(Tableau13[[#This Row],[Code]],'Code Véhicule'!$A$4:$C$185,3,0))</f>
        <v>VOLVO</v>
      </c>
      <c r="E324" s="36" t="str">
        <f>IF(ISNA(VLOOKUP(Tableau13[[#This Row],[Code]],'Code Véhicule'!$A$4:$D$185,4,0))," ",VLOOKUP(Tableau13[[#This Row],[Code]],'Code Véhicule'!$A$4:$D$185,4,0))</f>
        <v>22300-A-73</v>
      </c>
      <c r="F324" s="36">
        <v>23332</v>
      </c>
      <c r="G324" s="38" t="s">
        <v>743</v>
      </c>
      <c r="H324" s="38" t="s">
        <v>744</v>
      </c>
      <c r="I324" s="36" t="s">
        <v>304</v>
      </c>
      <c r="J324" s="36" t="s">
        <v>745</v>
      </c>
      <c r="K324" s="36" t="s">
        <v>746</v>
      </c>
      <c r="L324" s="40">
        <v>570</v>
      </c>
      <c r="M324" s="36">
        <v>570</v>
      </c>
      <c r="N324" s="41">
        <v>44097</v>
      </c>
      <c r="O324" s="38"/>
      <c r="P324" s="38"/>
      <c r="Q324" s="176" t="e">
        <f>MONTH([1]!Tableau13[[#This Row],[Date début]])</f>
        <v>#REF!</v>
      </c>
      <c r="R324" s="180" t="e">
        <f>YEAR([1]!Tableau13[[#This Row],[Date début]])</f>
        <v>#REF!</v>
      </c>
    </row>
    <row r="325" spans="1:18" ht="30" customHeight="1">
      <c r="A325" s="35">
        <v>44097</v>
      </c>
      <c r="B325" s="36">
        <v>429</v>
      </c>
      <c r="C325" s="37" t="str">
        <f>IF(ISNA(VLOOKUP(Tableau13[[#This Row],[Code]],'Code Véhicule'!$A$4:$C$41,2,TRUE)),"",(VLOOKUP(Tableau13[[#This Row],[Code]],'Code Véhicule'!$A$4:$C$41,2,TRUE)))</f>
        <v>Chariot elevateur</v>
      </c>
      <c r="D325" s="38" t="str">
        <f>IF(ISNA(VLOOKUP(Tableau13[[#This Row],[Code]],'Code Véhicule'!$A$4:$C$185,3,0)),"",VLOOKUP(Tableau13[[#This Row],[Code]],'Code Véhicule'!$A$4:$C$185,3,0))</f>
        <v>Fenwick HD30</v>
      </c>
      <c r="E325" s="36" t="str">
        <f>IF(ISNA(VLOOKUP(Tableau13[[#This Row],[Code]],'Code Véhicule'!$A$4:$D$185,4,0))," ",VLOOKUP(Tableau13[[#This Row],[Code]],'Code Véhicule'!$A$4:$D$185,4,0))</f>
        <v>-</v>
      </c>
      <c r="F325" s="36">
        <v>23333</v>
      </c>
      <c r="G325" s="38" t="s">
        <v>393</v>
      </c>
      <c r="H325" s="38" t="s">
        <v>613</v>
      </c>
      <c r="I325" s="36" t="s">
        <v>504</v>
      </c>
      <c r="J325" s="36" t="s">
        <v>747</v>
      </c>
      <c r="K325" s="36" t="s">
        <v>748</v>
      </c>
      <c r="L325" s="40">
        <v>30</v>
      </c>
      <c r="M325" s="36">
        <v>30</v>
      </c>
      <c r="N325" s="41">
        <v>44097</v>
      </c>
      <c r="O325" s="38"/>
      <c r="P325" s="38"/>
      <c r="Q325" s="176" t="e">
        <f>MONTH([1]!Tableau13[[#This Row],[Date début]])</f>
        <v>#REF!</v>
      </c>
      <c r="R325" s="180" t="e">
        <f>YEAR([1]!Tableau13[[#This Row],[Date début]])</f>
        <v>#REF!</v>
      </c>
    </row>
    <row r="326" spans="1:18" ht="15.75" customHeight="1">
      <c r="A326" s="35">
        <v>44097</v>
      </c>
      <c r="B326" s="36">
        <v>407</v>
      </c>
      <c r="C326" s="37" t="str">
        <f>IF(ISNA(VLOOKUP(Tableau13[[#This Row],[Code]],'Code Véhicule'!$A$4:$C$41,2,TRUE)),"",(VLOOKUP(Tableau13[[#This Row],[Code]],'Code Véhicule'!$A$4:$C$41,2,TRUE)))</f>
        <v>Semi remorque</v>
      </c>
      <c r="D326" s="38" t="str">
        <f>IF(ISNA(VLOOKUP(Tableau13[[#This Row],[Code]],'Code Véhicule'!$A$4:$C$185,3,0)),"",VLOOKUP(Tableau13[[#This Row],[Code]],'Code Véhicule'!$A$4:$C$185,3,0))</f>
        <v>MAN</v>
      </c>
      <c r="E326" s="36" t="str">
        <f>IF(ISNA(VLOOKUP(Tableau13[[#This Row],[Code]],'Code Véhicule'!$A$4:$D$185,4,0))," ",VLOOKUP(Tableau13[[#This Row],[Code]],'Code Véhicule'!$A$4:$D$185,4,0))</f>
        <v>706-A-73</v>
      </c>
      <c r="F326" s="36">
        <v>23334</v>
      </c>
      <c r="G326" s="38" t="s">
        <v>525</v>
      </c>
      <c r="H326" s="38" t="s">
        <v>622</v>
      </c>
      <c r="I326" s="36" t="s">
        <v>304</v>
      </c>
      <c r="J326" s="36" t="s">
        <v>372</v>
      </c>
      <c r="K326" s="36">
        <v>151590</v>
      </c>
      <c r="L326" s="40">
        <v>120</v>
      </c>
      <c r="M326" s="36">
        <v>120</v>
      </c>
      <c r="N326" s="41">
        <v>44097</v>
      </c>
      <c r="O326" s="38"/>
      <c r="P326" s="38"/>
      <c r="Q326" s="176" t="e">
        <f>MONTH([1]!Tableau13[[#This Row],[Date début]])</f>
        <v>#REF!</v>
      </c>
      <c r="R326" s="180" t="e">
        <f>YEAR([1]!Tableau13[[#This Row],[Date début]])</f>
        <v>#REF!</v>
      </c>
    </row>
    <row r="327" spans="1:18">
      <c r="A327" s="35">
        <v>44099</v>
      </c>
      <c r="B327" s="36">
        <v>471</v>
      </c>
      <c r="C327" s="37" t="str">
        <f>IF(ISNA(VLOOKUP(Tableau13[[#This Row],[Code]],'Code Véhicule'!$A$4:$C$41,2,TRUE)),"",(VLOOKUP(Tableau13[[#This Row],[Code]],'Code Véhicule'!$A$4:$C$41,2,TRUE)))</f>
        <v>Bus de transport</v>
      </c>
      <c r="D327" s="38" t="str">
        <f>IF(ISNA(VLOOKUP(Tableau13[[#This Row],[Code]],'Code Véhicule'!$A$4:$C$185,3,0)),"",VLOOKUP(Tableau13[[#This Row],[Code]],'Code Véhicule'!$A$4:$C$185,3,0))</f>
        <v xml:space="preserve">Hyundai County </v>
      </c>
      <c r="E327" s="36" t="str">
        <f>IF(ISNA(VLOOKUP(Tableau13[[#This Row],[Code]],'Code Véhicule'!$A$4:$D$185,4,0))," ",VLOOKUP(Tableau13[[#This Row],[Code]],'Code Véhicule'!$A$4:$D$185,4,0))</f>
        <v>18516-A-73</v>
      </c>
      <c r="F327" s="36">
        <v>23335</v>
      </c>
      <c r="G327" s="38" t="s">
        <v>393</v>
      </c>
      <c r="H327" s="38" t="s">
        <v>608</v>
      </c>
      <c r="I327" s="36" t="s">
        <v>302</v>
      </c>
      <c r="J327" s="36" t="s">
        <v>528</v>
      </c>
      <c r="K327" s="36">
        <v>151902</v>
      </c>
      <c r="L327" s="40">
        <v>120</v>
      </c>
      <c r="M327" s="36">
        <v>120</v>
      </c>
      <c r="N327" s="41">
        <v>44099</v>
      </c>
      <c r="O327" s="38"/>
      <c r="P327" s="38"/>
      <c r="Q327" s="176" t="e">
        <f>MONTH([1]!Tableau13[[#This Row],[Date début]])</f>
        <v>#REF!</v>
      </c>
      <c r="R327" s="180" t="e">
        <f>YEAR([1]!Tableau13[[#This Row],[Date début]])</f>
        <v>#REF!</v>
      </c>
    </row>
    <row r="328" spans="1:18" ht="15.75" customHeight="1">
      <c r="A328" s="35">
        <v>44100</v>
      </c>
      <c r="B328" s="36">
        <v>431</v>
      </c>
      <c r="C328" s="37" t="str">
        <f>IF(ISNA(VLOOKUP(Tableau13[[#This Row],[Code]],'Code Véhicule'!$A$4:$C$41,2,TRUE)),"",(VLOOKUP(Tableau13[[#This Row],[Code]],'Code Véhicule'!$A$4:$C$41,2,TRUE)))</f>
        <v>Chariot elevateur</v>
      </c>
      <c r="D328" s="38" t="str">
        <f>IF(ISNA(VLOOKUP(Tableau13[[#This Row],[Code]],'Code Véhicule'!$A$4:$C$185,3,0)),"",VLOOKUP(Tableau13[[#This Row],[Code]],'Code Véhicule'!$A$4:$C$185,3,0))</f>
        <v>Manitou M26-2</v>
      </c>
      <c r="E328" s="36" t="str">
        <f>IF(ISNA(VLOOKUP(Tableau13[[#This Row],[Code]],'Code Véhicule'!$A$4:$D$185,4,0))," ",VLOOKUP(Tableau13[[#This Row],[Code]],'Code Véhicule'!$A$4:$D$185,4,0))</f>
        <v>-</v>
      </c>
      <c r="F328" s="36">
        <v>23337</v>
      </c>
      <c r="G328" s="38" t="s">
        <v>752</v>
      </c>
      <c r="H328" s="38" t="s">
        <v>753</v>
      </c>
      <c r="I328" s="36" t="s">
        <v>304</v>
      </c>
      <c r="J328" s="36" t="s">
        <v>754</v>
      </c>
      <c r="K328" s="36">
        <v>151903</v>
      </c>
      <c r="L328" s="40">
        <v>180</v>
      </c>
      <c r="M328" s="36">
        <v>180</v>
      </c>
      <c r="N328" s="41">
        <v>44100</v>
      </c>
      <c r="O328" s="38"/>
      <c r="P328" s="38"/>
      <c r="Q328" s="176" t="e">
        <f>MONTH([1]!Tableau13[[#This Row],[Date début]])</f>
        <v>#REF!</v>
      </c>
      <c r="R328" s="180" t="e">
        <f>YEAR([1]!Tableau13[[#This Row],[Date début]])</f>
        <v>#REF!</v>
      </c>
    </row>
    <row r="329" spans="1:18">
      <c r="A329" s="35">
        <v>44100</v>
      </c>
      <c r="B329" s="36">
        <v>479</v>
      </c>
      <c r="C329" s="37" t="str">
        <f>IF(ISNA(VLOOKUP(Tableau13[[#This Row],[Code]],'Code Véhicule'!$A$4:$C$41,2,TRUE)),"",(VLOOKUP(Tableau13[[#This Row],[Code]],'Code Véhicule'!$A$4:$C$41,2,TRUE)))</f>
        <v>Bus de transport</v>
      </c>
      <c r="D329" s="38" t="str">
        <f>IF(ISNA(VLOOKUP(Tableau13[[#This Row],[Code]],'Code Véhicule'!$A$4:$C$185,3,0)),"",VLOOKUP(Tableau13[[#This Row],[Code]],'Code Véhicule'!$A$4:$C$185,3,0))</f>
        <v>Hyundai County</v>
      </c>
      <c r="E329" s="36" t="str">
        <f>IF(ISNA(VLOOKUP(Tableau13[[#This Row],[Code]],'Code Véhicule'!$A$4:$D$185,4,0))," ",VLOOKUP(Tableau13[[#This Row],[Code]],'Code Véhicule'!$A$4:$D$185,4,0))</f>
        <v>22772-A-73</v>
      </c>
      <c r="F329" s="36">
        <v>23338</v>
      </c>
      <c r="G329" s="38" t="s">
        <v>393</v>
      </c>
      <c r="H329" s="38" t="s">
        <v>608</v>
      </c>
      <c r="I329" s="36" t="s">
        <v>302</v>
      </c>
      <c r="J329" s="36" t="s">
        <v>315</v>
      </c>
      <c r="K329" s="36">
        <v>151904</v>
      </c>
      <c r="L329" s="40">
        <v>570</v>
      </c>
      <c r="M329" s="36">
        <v>570</v>
      </c>
      <c r="N329" s="41">
        <v>44100</v>
      </c>
      <c r="O329" s="38"/>
      <c r="P329" s="38"/>
      <c r="Q329" s="176" t="e">
        <f>MONTH([1]!Tableau13[[#This Row],[Date début]])</f>
        <v>#REF!</v>
      </c>
      <c r="R329" s="180" t="e">
        <f>YEAR([1]!Tableau13[[#This Row],[Date début]])</f>
        <v>#REF!</v>
      </c>
    </row>
    <row r="330" spans="1:18" ht="15.75" customHeight="1">
      <c r="A330" s="35">
        <v>44100</v>
      </c>
      <c r="B330" s="36">
        <v>431</v>
      </c>
      <c r="C330" s="37" t="str">
        <f>IF(ISNA(VLOOKUP(Tableau13[[#This Row],[Code]],'Code Véhicule'!$A$4:$C$41,2,TRUE)),"",(VLOOKUP(Tableau13[[#This Row],[Code]],'Code Véhicule'!$A$4:$C$41,2,TRUE)))</f>
        <v>Chariot elevateur</v>
      </c>
      <c r="D330" s="38" t="str">
        <f>IF(ISNA(VLOOKUP(Tableau13[[#This Row],[Code]],'Code Véhicule'!$A$4:$C$185,3,0)),"",VLOOKUP(Tableau13[[#This Row],[Code]],'Code Véhicule'!$A$4:$C$185,3,0))</f>
        <v>Manitou M26-2</v>
      </c>
      <c r="E330" s="36" t="str">
        <f>IF(ISNA(VLOOKUP(Tableau13[[#This Row],[Code]],'Code Véhicule'!$A$4:$D$185,4,0))," ",VLOOKUP(Tableau13[[#This Row],[Code]],'Code Véhicule'!$A$4:$D$185,4,0))</f>
        <v>-</v>
      </c>
      <c r="F330" s="36">
        <v>23342</v>
      </c>
      <c r="G330" s="38" t="s">
        <v>651</v>
      </c>
      <c r="H330" s="38" t="s">
        <v>757</v>
      </c>
      <c r="I330" s="36" t="s">
        <v>304</v>
      </c>
      <c r="J330" s="36" t="s">
        <v>758</v>
      </c>
      <c r="K330" s="36">
        <v>151910</v>
      </c>
      <c r="L330" s="40">
        <v>570</v>
      </c>
      <c r="M330" s="36">
        <v>570</v>
      </c>
      <c r="N330" s="41">
        <v>44100</v>
      </c>
      <c r="O330" s="38"/>
      <c r="P330" s="38"/>
      <c r="Q330" s="176" t="e">
        <f>MONTH([1]!Tableau13[[#This Row],[Date début]])</f>
        <v>#REF!</v>
      </c>
      <c r="R330" s="180" t="e">
        <f>YEAR([1]!Tableau13[[#This Row],[Date début]])</f>
        <v>#REF!</v>
      </c>
    </row>
    <row r="331" spans="1:18" ht="30" customHeight="1">
      <c r="A331" s="35">
        <v>44102</v>
      </c>
      <c r="B331" s="36">
        <v>435</v>
      </c>
      <c r="C331" s="37" t="str">
        <f>IF(ISNA(VLOOKUP(Tableau13[[#This Row],[Code]],'Code Véhicule'!$A$4:$C$41,2,TRUE)),"",(VLOOKUP(Tableau13[[#This Row],[Code]],'Code Véhicule'!$A$4:$C$41,2,TRUE)))</f>
        <v>Camion</v>
      </c>
      <c r="D331" s="38" t="str">
        <f>IF(ISNA(VLOOKUP(Tableau13[[#This Row],[Code]],'Code Véhicule'!$A$4:$C$185,3,0)),"",VLOOKUP(Tableau13[[#This Row],[Code]],'Code Véhicule'!$A$4:$C$185,3,0))</f>
        <v>Mitsubishi</v>
      </c>
      <c r="E331" s="36" t="str">
        <f>IF(ISNA(VLOOKUP(Tableau13[[#This Row],[Code]],'Code Véhicule'!$A$4:$D$185,4,0))," ",VLOOKUP(Tableau13[[#This Row],[Code]],'Code Véhicule'!$A$4:$D$185,4,0))</f>
        <v xml:space="preserve"> 11469-A-73</v>
      </c>
      <c r="F331" s="36">
        <v>23341</v>
      </c>
      <c r="G331" s="38" t="s">
        <v>393</v>
      </c>
      <c r="H331" s="38" t="s">
        <v>608</v>
      </c>
      <c r="I331" s="36" t="s">
        <v>302</v>
      </c>
      <c r="J331" s="36" t="s">
        <v>315</v>
      </c>
      <c r="K331" s="36">
        <v>151908</v>
      </c>
      <c r="L331" s="40">
        <v>60</v>
      </c>
      <c r="M331" s="36">
        <v>60</v>
      </c>
      <c r="N331" s="41">
        <v>44102</v>
      </c>
      <c r="O331" s="38"/>
      <c r="P331" s="38"/>
      <c r="Q331" s="176" t="e">
        <f>MONTH([1]!Tableau13[[#This Row],[Date début]])</f>
        <v>#REF!</v>
      </c>
      <c r="R331" s="180" t="e">
        <f>YEAR([1]!Tableau13[[#This Row],[Date début]])</f>
        <v>#REF!</v>
      </c>
    </row>
    <row r="332" spans="1:18">
      <c r="A332" s="35">
        <v>44102</v>
      </c>
      <c r="B332" s="36">
        <v>471</v>
      </c>
      <c r="C332" s="37" t="str">
        <f>IF(ISNA(VLOOKUP(Tableau13[[#This Row],[Code]],'Code Véhicule'!$A$4:$C$41,2,TRUE)),"",(VLOOKUP(Tableau13[[#This Row],[Code]],'Code Véhicule'!$A$4:$C$41,2,TRUE)))</f>
        <v>Bus de transport</v>
      </c>
      <c r="D332" s="38" t="str">
        <f>IF(ISNA(VLOOKUP(Tableau13[[#This Row],[Code]],'Code Véhicule'!$A$4:$C$185,3,0)),"",VLOOKUP(Tableau13[[#This Row],[Code]],'Code Véhicule'!$A$4:$C$185,3,0))</f>
        <v xml:space="preserve">Hyundai County </v>
      </c>
      <c r="E332" s="36" t="str">
        <f>IF(ISNA(VLOOKUP(Tableau13[[#This Row],[Code]],'Code Véhicule'!$A$4:$D$185,4,0))," ",VLOOKUP(Tableau13[[#This Row],[Code]],'Code Véhicule'!$A$4:$D$185,4,0))</f>
        <v>18516-A-73</v>
      </c>
      <c r="F332" s="36">
        <v>23344</v>
      </c>
      <c r="G332" s="38" t="s">
        <v>545</v>
      </c>
      <c r="H332" s="38" t="s">
        <v>761</v>
      </c>
      <c r="I332" s="36" t="s">
        <v>304</v>
      </c>
      <c r="J332" s="36" t="s">
        <v>762</v>
      </c>
      <c r="K332" s="36">
        <v>151918</v>
      </c>
      <c r="L332" s="40" t="s">
        <v>763</v>
      </c>
      <c r="M332" s="36" t="s">
        <v>763</v>
      </c>
      <c r="N332" s="41">
        <v>44106</v>
      </c>
      <c r="O332" s="38"/>
      <c r="P332" s="38"/>
      <c r="Q332" s="176" t="e">
        <f>MONTH([1]!Tableau13[[#This Row],[Date début]])</f>
        <v>#REF!</v>
      </c>
      <c r="R332" s="180" t="e">
        <f>YEAR([1]!Tableau13[[#This Row],[Date début]])</f>
        <v>#REF!</v>
      </c>
    </row>
    <row r="333" spans="1:18" ht="15.75" customHeight="1">
      <c r="A333" s="35">
        <v>44102</v>
      </c>
      <c r="B333" s="36">
        <v>438</v>
      </c>
      <c r="C333" s="37" t="str">
        <f>IF(ISNA(VLOOKUP(Tableau13[[#This Row],[Code]],'Code Véhicule'!$A$4:$C$41,2,TRUE)),"",(VLOOKUP(Tableau13[[#This Row],[Code]],'Code Véhicule'!$A$4:$C$41,2,TRUE)))</f>
        <v>Semi remorque</v>
      </c>
      <c r="D333" s="38" t="str">
        <f>IF(ISNA(VLOOKUP(Tableau13[[#This Row],[Code]],'Code Véhicule'!$A$4:$C$185,3,0)),"",VLOOKUP(Tableau13[[#This Row],[Code]],'Code Véhicule'!$A$4:$C$185,3,0))</f>
        <v>VOLVO</v>
      </c>
      <c r="E333" s="36" t="str">
        <f>IF(ISNA(VLOOKUP(Tableau13[[#This Row],[Code]],'Code Véhicule'!$A$4:$D$185,4,0))," ",VLOOKUP(Tableau13[[#This Row],[Code]],'Code Véhicule'!$A$4:$D$185,4,0))</f>
        <v xml:space="preserve">17885-A-73 </v>
      </c>
      <c r="F333" s="36">
        <v>23346</v>
      </c>
      <c r="G333" s="38" t="s">
        <v>393</v>
      </c>
      <c r="H333" s="38" t="s">
        <v>608</v>
      </c>
      <c r="I333" s="36" t="s">
        <v>302</v>
      </c>
      <c r="J333" s="36" t="s">
        <v>315</v>
      </c>
      <c r="K333" s="36"/>
      <c r="L333" s="40">
        <v>570</v>
      </c>
      <c r="M333" s="36">
        <v>570</v>
      </c>
      <c r="N333" s="41">
        <v>44102</v>
      </c>
      <c r="O333" s="38"/>
      <c r="P333" s="38"/>
      <c r="Q333" s="176" t="e">
        <f>MONTH([1]!Tableau13[[#This Row],[Date début]])</f>
        <v>#REF!</v>
      </c>
      <c r="R333" s="180" t="e">
        <f>YEAR([1]!Tableau13[[#This Row],[Date début]])</f>
        <v>#REF!</v>
      </c>
    </row>
    <row r="334" spans="1:18" ht="30" customHeight="1">
      <c r="A334" s="35">
        <v>44104</v>
      </c>
      <c r="B334" s="36">
        <v>481</v>
      </c>
      <c r="C334" s="37" t="str">
        <f>IF(ISNA(VLOOKUP(Tableau13[[#This Row],[Code]],'Code Véhicule'!$A$4:$C$41,2,TRUE)),"",(VLOOKUP(Tableau13[[#This Row],[Code]],'Code Véhicule'!$A$4:$C$41,2,TRUE)))</f>
        <v>Camion</v>
      </c>
      <c r="D334" s="38" t="str">
        <f>IF(ISNA(VLOOKUP(Tableau13[[#This Row],[Code]],'Code Véhicule'!$A$4:$C$185,3,0)),"",VLOOKUP(Tableau13[[#This Row],[Code]],'Code Véhicule'!$A$4:$C$185,3,0))</f>
        <v>VOLVO</v>
      </c>
      <c r="E334" s="36" t="str">
        <f>IF(ISNA(VLOOKUP(Tableau13[[#This Row],[Code]],'Code Véhicule'!$A$4:$D$185,4,0))," ",VLOOKUP(Tableau13[[#This Row],[Code]],'Code Véhicule'!$A$4:$D$185,4,0))</f>
        <v>22300-A-73</v>
      </c>
      <c r="F334" s="36">
        <v>23322</v>
      </c>
      <c r="G334" s="38" t="s">
        <v>397</v>
      </c>
      <c r="H334" s="38" t="s">
        <v>649</v>
      </c>
      <c r="I334" s="36" t="s">
        <v>304</v>
      </c>
      <c r="J334" s="36" t="s">
        <v>735</v>
      </c>
      <c r="K334" s="36">
        <v>151557</v>
      </c>
      <c r="L334" s="40">
        <v>180</v>
      </c>
      <c r="M334" s="36">
        <v>180</v>
      </c>
      <c r="N334" s="41">
        <v>44104</v>
      </c>
      <c r="O334" s="38"/>
      <c r="P334" s="38"/>
      <c r="Q334" s="176" t="e">
        <f>MONTH([1]!Tableau13[[#This Row],[Date début]])</f>
        <v>#REF!</v>
      </c>
      <c r="R334" s="180" t="e">
        <f>YEAR([1]!Tableau13[[#This Row],[Date début]])</f>
        <v>#REF!</v>
      </c>
    </row>
    <row r="335" spans="1:18" ht="30" customHeight="1">
      <c r="A335" s="35">
        <v>44105</v>
      </c>
      <c r="B335" s="36">
        <v>432</v>
      </c>
      <c r="C335" s="37" t="str">
        <f>IF(ISNA(VLOOKUP(Tableau13[[#This Row],[Code]],'Code Véhicule'!$A$4:$C$41,2,TRUE)),"",(VLOOKUP(Tableau13[[#This Row],[Code]],'Code Véhicule'!$A$4:$C$41,2,TRUE)))</f>
        <v>Voiture de fonction</v>
      </c>
      <c r="D335" s="38" t="str">
        <f>IF(ISNA(VLOOKUP(Tableau13[[#This Row],[Code]],'Code Véhicule'!$A$4:$C$185,3,0)),"",VLOOKUP(Tableau13[[#This Row],[Code]],'Code Véhicule'!$A$4:$C$185,3,0))</f>
        <v>Berlingo</v>
      </c>
      <c r="E335" s="36" t="str">
        <f>IF(ISNA(VLOOKUP(Tableau13[[#This Row],[Code]],'Code Véhicule'!$A$4:$D$185,4,0))," ",VLOOKUP(Tableau13[[#This Row],[Code]],'Code Véhicule'!$A$4:$D$185,4,0))</f>
        <v xml:space="preserve"> 9660 -A-73</v>
      </c>
      <c r="F335" s="36">
        <v>23343</v>
      </c>
      <c r="G335" s="38" t="s">
        <v>393</v>
      </c>
      <c r="H335" s="38" t="s">
        <v>608</v>
      </c>
      <c r="I335" s="36" t="s">
        <v>302</v>
      </c>
      <c r="J335" s="36" t="s">
        <v>759</v>
      </c>
      <c r="K335" s="36" t="s">
        <v>760</v>
      </c>
      <c r="L335" s="40">
        <v>120</v>
      </c>
      <c r="M335" s="36">
        <v>120</v>
      </c>
      <c r="N335" s="41">
        <v>44105</v>
      </c>
      <c r="O335" s="38"/>
      <c r="P335" s="38"/>
      <c r="Q335" s="176" t="e">
        <f>MONTH([1]!Tableau13[[#This Row],[Date début]])</f>
        <v>#REF!</v>
      </c>
      <c r="R335" s="180" t="e">
        <f>YEAR([1]!Tableau13[[#This Row],[Date début]])</f>
        <v>#REF!</v>
      </c>
    </row>
    <row r="336" spans="1:18" ht="90" customHeight="1">
      <c r="A336" s="35">
        <v>44106</v>
      </c>
      <c r="B336" s="36">
        <v>403</v>
      </c>
      <c r="C336" s="37" t="str">
        <f>IF(ISNA(VLOOKUP(Tableau13[[#This Row],[Code]],'Code Véhicule'!$A$4:$C$41,2,TRUE)),"",(VLOOKUP(Tableau13[[#This Row],[Code]],'Code Véhicule'!$A$4:$C$41,2,TRUE)))</f>
        <v>Camion</v>
      </c>
      <c r="D336" s="38" t="str">
        <f>IF(ISNA(VLOOKUP(Tableau13[[#This Row],[Code]],'Code Véhicule'!$A$4:$C$185,3,0)),"",VLOOKUP(Tableau13[[#This Row],[Code]],'Code Véhicule'!$A$4:$C$185,3,0))</f>
        <v>MAN</v>
      </c>
      <c r="E336" s="36" t="str">
        <f>IF(ISNA(VLOOKUP(Tableau13[[#This Row],[Code]],'Code Véhicule'!$A$4:$D$185,4,0))," ",VLOOKUP(Tableau13[[#This Row],[Code]],'Code Véhicule'!$A$4:$D$185,4,0))</f>
        <v>4790-B-8</v>
      </c>
      <c r="F336" s="36">
        <v>23347</v>
      </c>
      <c r="G336" s="38" t="s">
        <v>397</v>
      </c>
      <c r="H336" s="38" t="s">
        <v>625</v>
      </c>
      <c r="I336" s="36" t="s">
        <v>304</v>
      </c>
      <c r="J336" s="36" t="s">
        <v>765</v>
      </c>
      <c r="K336" s="36" t="s">
        <v>766</v>
      </c>
      <c r="L336" s="40">
        <v>570</v>
      </c>
      <c r="M336" s="36">
        <v>570</v>
      </c>
      <c r="N336" s="41">
        <v>44123</v>
      </c>
      <c r="O336" s="38"/>
      <c r="P336" s="38"/>
      <c r="Q336" s="176" t="e">
        <f>MONTH([1]!Tableau13[[#This Row],[Date début]])</f>
        <v>#REF!</v>
      </c>
      <c r="R336" s="180" t="e">
        <f>YEAR([1]!Tableau13[[#This Row],[Date début]])</f>
        <v>#REF!</v>
      </c>
    </row>
    <row r="337" spans="1:18" ht="15.75" customHeight="1">
      <c r="A337" s="35">
        <v>44107</v>
      </c>
      <c r="B337" s="36">
        <v>431</v>
      </c>
      <c r="C337" s="37" t="str">
        <f>IF(ISNA(VLOOKUP(Tableau13[[#This Row],[Code]],'Code Véhicule'!$A$4:$C$41,2,TRUE)),"",(VLOOKUP(Tableau13[[#This Row],[Code]],'Code Véhicule'!$A$4:$C$41,2,TRUE)))</f>
        <v>Chariot elevateur</v>
      </c>
      <c r="D337" s="38" t="str">
        <f>IF(ISNA(VLOOKUP(Tableau13[[#This Row],[Code]],'Code Véhicule'!$A$4:$C$185,3,0)),"",VLOOKUP(Tableau13[[#This Row],[Code]],'Code Véhicule'!$A$4:$C$185,3,0))</f>
        <v>Manitou M26-2</v>
      </c>
      <c r="E337" s="36" t="str">
        <f>IF(ISNA(VLOOKUP(Tableau13[[#This Row],[Code]],'Code Véhicule'!$A$4:$D$185,4,0))," ",VLOOKUP(Tableau13[[#This Row],[Code]],'Code Véhicule'!$A$4:$D$185,4,0))</f>
        <v>-</v>
      </c>
      <c r="F337" s="36">
        <v>24951</v>
      </c>
      <c r="G337" s="38" t="s">
        <v>393</v>
      </c>
      <c r="H337" s="38" t="s">
        <v>613</v>
      </c>
      <c r="I337" s="36" t="s">
        <v>302</v>
      </c>
      <c r="J337" s="36" t="s">
        <v>773</v>
      </c>
      <c r="K337" s="36">
        <v>151932</v>
      </c>
      <c r="L337" s="40">
        <v>30</v>
      </c>
      <c r="M337" s="36">
        <v>30</v>
      </c>
      <c r="N337" s="41">
        <v>44107</v>
      </c>
      <c r="O337" s="38"/>
      <c r="P337" s="38"/>
      <c r="Q337" s="176" t="e">
        <f>MONTH([1]!Tableau13[[#This Row],[Date début]])</f>
        <v>#REF!</v>
      </c>
      <c r="R337" s="180" t="e">
        <f>YEAR([1]!Tableau13[[#This Row],[Date début]])</f>
        <v>#REF!</v>
      </c>
    </row>
    <row r="338" spans="1:18" ht="15.75" customHeight="1">
      <c r="A338" s="35">
        <v>44108</v>
      </c>
      <c r="B338" s="36">
        <v>421</v>
      </c>
      <c r="C338" s="37" t="str">
        <f>IF(ISNA(VLOOKUP(Tableau13[[#This Row],[Code]],'Code Véhicule'!$A$4:$C$41,2,TRUE)),"",(VLOOKUP(Tableau13[[#This Row],[Code]],'Code Véhicule'!$A$4:$C$41,2,TRUE)))</f>
        <v>Chariot elevateur</v>
      </c>
      <c r="D338" s="38" t="str">
        <f>IF(ISNA(VLOOKUP(Tableau13[[#This Row],[Code]],'Code Véhicule'!$A$4:$C$185,3,0)),"",VLOOKUP(Tableau13[[#This Row],[Code]],'Code Véhicule'!$A$4:$C$185,3,0))</f>
        <v>Linde H30</v>
      </c>
      <c r="E338" s="36" t="str">
        <f>IF(ISNA(VLOOKUP(Tableau13[[#This Row],[Code]],'Code Véhicule'!$A$4:$D$185,4,0))," ",VLOOKUP(Tableau13[[#This Row],[Code]],'Code Véhicule'!$A$4:$D$185,4,0))</f>
        <v>-</v>
      </c>
      <c r="F338" s="36">
        <v>23348</v>
      </c>
      <c r="G338" s="38" t="s">
        <v>511</v>
      </c>
      <c r="H338" s="38" t="s">
        <v>602</v>
      </c>
      <c r="I338" s="36" t="s">
        <v>304</v>
      </c>
      <c r="J338" s="36" t="s">
        <v>768</v>
      </c>
      <c r="K338" s="36">
        <v>151</v>
      </c>
      <c r="L338" s="40">
        <v>180</v>
      </c>
      <c r="M338" s="36">
        <v>180</v>
      </c>
      <c r="N338" s="41">
        <v>44108</v>
      </c>
      <c r="O338" s="38"/>
      <c r="P338" s="38"/>
      <c r="Q338" s="176" t="e">
        <f>MONTH([1]!Tableau13[[#This Row],[Date début]])</f>
        <v>#REF!</v>
      </c>
      <c r="R338" s="180" t="e">
        <f>YEAR([1]!Tableau13[[#This Row],[Date début]])</f>
        <v>#REF!</v>
      </c>
    </row>
    <row r="339" spans="1:18">
      <c r="A339" s="35">
        <v>44108</v>
      </c>
      <c r="B339" s="36">
        <v>471</v>
      </c>
      <c r="C339" s="37" t="str">
        <f>IF(ISNA(VLOOKUP(Tableau13[[#This Row],[Code]],'Code Véhicule'!$A$4:$C$41,2,TRUE)),"",(VLOOKUP(Tableau13[[#This Row],[Code]],'Code Véhicule'!$A$4:$C$41,2,TRUE)))</f>
        <v>Bus de transport</v>
      </c>
      <c r="D339" s="38" t="str">
        <f>IF(ISNA(VLOOKUP(Tableau13[[#This Row],[Code]],'Code Véhicule'!$A$4:$C$185,3,0)),"",VLOOKUP(Tableau13[[#This Row],[Code]],'Code Véhicule'!$A$4:$C$185,3,0))</f>
        <v xml:space="preserve">Hyundai County </v>
      </c>
      <c r="E339" s="36" t="str">
        <f>IF(ISNA(VLOOKUP(Tableau13[[#This Row],[Code]],'Code Véhicule'!$A$4:$D$185,4,0))," ",VLOOKUP(Tableau13[[#This Row],[Code]],'Code Véhicule'!$A$4:$D$185,4,0))</f>
        <v>18516-A-73</v>
      </c>
      <c r="F339" s="36">
        <v>24952</v>
      </c>
      <c r="G339" s="38" t="s">
        <v>560</v>
      </c>
      <c r="H339" s="38" t="s">
        <v>604</v>
      </c>
      <c r="I339" s="36" t="s">
        <v>304</v>
      </c>
      <c r="J339" s="36" t="s">
        <v>372</v>
      </c>
      <c r="K339" s="36">
        <v>151933</v>
      </c>
      <c r="L339" s="40">
        <v>30</v>
      </c>
      <c r="M339" s="36">
        <v>30</v>
      </c>
      <c r="N339" s="41">
        <v>44108</v>
      </c>
      <c r="O339" s="38"/>
      <c r="P339" s="38"/>
      <c r="Q339" s="176" t="e">
        <f>MONTH([1]!Tableau13[[#This Row],[Date début]])</f>
        <v>#REF!</v>
      </c>
      <c r="R339" s="180" t="e">
        <f>YEAR([1]!Tableau13[[#This Row],[Date début]])</f>
        <v>#REF!</v>
      </c>
    </row>
    <row r="340" spans="1:18" ht="30" customHeight="1">
      <c r="A340" s="35">
        <v>44108</v>
      </c>
      <c r="B340" s="36">
        <v>430</v>
      </c>
      <c r="C340" s="37" t="str">
        <f>IF(ISNA(VLOOKUP(Tableau13[[#This Row],[Code]],'Code Véhicule'!$A$4:$C$41,2,TRUE)),"",(VLOOKUP(Tableau13[[#This Row],[Code]],'Code Véhicule'!$A$4:$C$41,2,TRUE)))</f>
        <v>Chariot elevateur</v>
      </c>
      <c r="D340" s="38" t="str">
        <f>IF(ISNA(VLOOKUP(Tableau13[[#This Row],[Code]],'Code Véhicule'!$A$4:$C$185,3,0)),"",VLOOKUP(Tableau13[[#This Row],[Code]],'Code Véhicule'!$A$4:$C$185,3,0))</f>
        <v>Fenwick  H40</v>
      </c>
      <c r="E340" s="36" t="str">
        <f>IF(ISNA(VLOOKUP(Tableau13[[#This Row],[Code]],'Code Véhicule'!$A$4:$D$185,4,0))," ",VLOOKUP(Tableau13[[#This Row],[Code]],'Code Véhicule'!$A$4:$D$185,4,0))</f>
        <v>-</v>
      </c>
      <c r="F340" s="36">
        <v>24953</v>
      </c>
      <c r="G340" s="38" t="s">
        <v>774</v>
      </c>
      <c r="H340" s="38" t="s">
        <v>775</v>
      </c>
      <c r="I340" s="36" t="s">
        <v>304</v>
      </c>
      <c r="J340" s="36" t="s">
        <v>776</v>
      </c>
      <c r="K340" s="36" t="s">
        <v>777</v>
      </c>
      <c r="L340" s="40">
        <v>120</v>
      </c>
      <c r="M340" s="36">
        <v>120</v>
      </c>
      <c r="N340" s="41">
        <v>44108</v>
      </c>
      <c r="O340" s="38"/>
      <c r="P340" s="38"/>
      <c r="Q340" s="176" t="e">
        <f>MONTH([1]!Tableau13[[#This Row],[Date début]])</f>
        <v>#REF!</v>
      </c>
      <c r="R340" s="180" t="e">
        <f>YEAR([1]!Tableau13[[#This Row],[Date début]])</f>
        <v>#REF!</v>
      </c>
    </row>
    <row r="341" spans="1:18" ht="60" customHeight="1">
      <c r="A341" s="35">
        <v>44112</v>
      </c>
      <c r="B341" s="36">
        <v>436</v>
      </c>
      <c r="C341" s="37" t="str">
        <f>IF(ISNA(VLOOKUP(Tableau13[[#This Row],[Code]],'Code Véhicule'!$A$4:$C$41,2,TRUE)),"",(VLOOKUP(Tableau13[[#This Row],[Code]],'Code Véhicule'!$A$4:$C$41,2,TRUE)))</f>
        <v>Camion</v>
      </c>
      <c r="D341" s="38" t="str">
        <f>IF(ISNA(VLOOKUP(Tableau13[[#This Row],[Code]],'Code Véhicule'!$A$4:$C$185,3,0)),"",VLOOKUP(Tableau13[[#This Row],[Code]],'Code Véhicule'!$A$4:$C$185,3,0))</f>
        <v>Mitsubishi</v>
      </c>
      <c r="E341" s="36" t="str">
        <f>IF(ISNA(VLOOKUP(Tableau13[[#This Row],[Code]],'Code Véhicule'!$A$4:$D$185,4,0))," ",VLOOKUP(Tableau13[[#This Row],[Code]],'Code Véhicule'!$A$4:$D$185,4,0))</f>
        <v>11470-A-73</v>
      </c>
      <c r="F341" s="36">
        <v>24954</v>
      </c>
      <c r="G341" s="38" t="s">
        <v>778</v>
      </c>
      <c r="H341" s="38" t="s">
        <v>779</v>
      </c>
      <c r="I341" s="36" t="s">
        <v>780</v>
      </c>
      <c r="J341" s="36" t="s">
        <v>781</v>
      </c>
      <c r="K341" s="36">
        <v>152151</v>
      </c>
      <c r="L341" s="40">
        <v>180</v>
      </c>
      <c r="M341" s="36">
        <v>180</v>
      </c>
      <c r="N341" s="41">
        <v>44112</v>
      </c>
      <c r="O341" s="38"/>
      <c r="P341" s="38"/>
      <c r="Q341" s="176" t="e">
        <f>MONTH([1]!Tableau13[[#This Row],[Date début]])</f>
        <v>#REF!</v>
      </c>
      <c r="R341" s="180" t="e">
        <f>YEAR([1]!Tableau13[[#This Row],[Date début]])</f>
        <v>#REF!</v>
      </c>
    </row>
    <row r="342" spans="1:18" ht="15.75" customHeight="1">
      <c r="A342" s="35">
        <v>44112</v>
      </c>
      <c r="B342" s="36">
        <v>481</v>
      </c>
      <c r="C342" s="37" t="str">
        <f>IF(ISNA(VLOOKUP(Tableau13[[#This Row],[Code]],'Code Véhicule'!$A$4:$C$41,2,TRUE)),"",(VLOOKUP(Tableau13[[#This Row],[Code]],'Code Véhicule'!$A$4:$C$41,2,TRUE)))</f>
        <v>Camion</v>
      </c>
      <c r="D342" s="38" t="str">
        <f>IF(ISNA(VLOOKUP(Tableau13[[#This Row],[Code]],'Code Véhicule'!$A$4:$C$185,3,0)),"",VLOOKUP(Tableau13[[#This Row],[Code]],'Code Véhicule'!$A$4:$C$185,3,0))</f>
        <v>VOLVO</v>
      </c>
      <c r="E342" s="36" t="str">
        <f>IF(ISNA(VLOOKUP(Tableau13[[#This Row],[Code]],'Code Véhicule'!$A$4:$D$185,4,0))," ",VLOOKUP(Tableau13[[#This Row],[Code]],'Code Véhicule'!$A$4:$D$185,4,0))</f>
        <v>22300-A-73</v>
      </c>
      <c r="F342" s="36">
        <v>24960</v>
      </c>
      <c r="G342" s="38" t="s">
        <v>1534</v>
      </c>
      <c r="H342" s="38" t="s">
        <v>785</v>
      </c>
      <c r="I342" s="36" t="s">
        <v>304</v>
      </c>
      <c r="J342" s="36" t="s">
        <v>326</v>
      </c>
      <c r="K342" s="36">
        <v>152170</v>
      </c>
      <c r="L342" s="40">
        <v>570</v>
      </c>
      <c r="M342" s="36">
        <v>570</v>
      </c>
      <c r="N342" s="41">
        <v>44113</v>
      </c>
      <c r="O342" s="38"/>
      <c r="P342" s="38"/>
      <c r="Q342" s="176" t="e">
        <f>MONTH([1]!Tableau13[[#This Row],[Date début]])</f>
        <v>#REF!</v>
      </c>
      <c r="R342" s="180" t="e">
        <f>YEAR([1]!Tableau13[[#This Row],[Date début]])</f>
        <v>#REF!</v>
      </c>
    </row>
    <row r="343" spans="1:18" ht="15.75" customHeight="1">
      <c r="A343" s="35">
        <v>44113</v>
      </c>
      <c r="B343" s="36">
        <v>408</v>
      </c>
      <c r="C343" s="37" t="str">
        <f>IF(ISNA(VLOOKUP(Tableau13[[#This Row],[Code]],'Code Véhicule'!$A$4:$C$41,2,TRUE)),"",(VLOOKUP(Tableau13[[#This Row],[Code]],'Code Véhicule'!$A$4:$C$41,2,TRUE)))</f>
        <v>Camion</v>
      </c>
      <c r="D343" s="38" t="str">
        <f>IF(ISNA(VLOOKUP(Tableau13[[#This Row],[Code]],'Code Véhicule'!$A$4:$C$185,3,0)),"",VLOOKUP(Tableau13[[#This Row],[Code]],'Code Véhicule'!$A$4:$C$185,3,0))</f>
        <v>Mitsubishi</v>
      </c>
      <c r="E343" s="36" t="str">
        <f>IF(ISNA(VLOOKUP(Tableau13[[#This Row],[Code]],'Code Véhicule'!$A$4:$D$185,4,0))," ",VLOOKUP(Tableau13[[#This Row],[Code]],'Code Véhicule'!$A$4:$D$185,4,0))</f>
        <v>4703-A-73</v>
      </c>
      <c r="F343" s="36">
        <v>23340</v>
      </c>
      <c r="G343" s="38" t="s">
        <v>560</v>
      </c>
      <c r="H343" s="38" t="s">
        <v>604</v>
      </c>
      <c r="I343" s="36" t="s">
        <v>304</v>
      </c>
      <c r="J343" s="36" t="s">
        <v>756</v>
      </c>
      <c r="K343" s="36">
        <v>152152</v>
      </c>
      <c r="L343" s="40">
        <v>30</v>
      </c>
      <c r="M343" s="36">
        <v>30</v>
      </c>
      <c r="N343" s="41">
        <v>44113</v>
      </c>
      <c r="O343" s="38"/>
      <c r="P343" s="38"/>
      <c r="Q343" s="176" t="e">
        <f>MONTH([1]!Tableau13[[#This Row],[Date début]])</f>
        <v>#REF!</v>
      </c>
      <c r="R343" s="180" t="e">
        <f>YEAR([1]!Tableau13[[#This Row],[Date début]])</f>
        <v>#REF!</v>
      </c>
    </row>
    <row r="344" spans="1:18" ht="15.75" customHeight="1">
      <c r="A344" s="35">
        <v>44114</v>
      </c>
      <c r="B344" s="36">
        <v>438</v>
      </c>
      <c r="C344" s="37" t="str">
        <f>IF(ISNA(VLOOKUP(Tableau13[[#This Row],[Code]],'Code Véhicule'!$A$4:$C$41,2,TRUE)),"",(VLOOKUP(Tableau13[[#This Row],[Code]],'Code Véhicule'!$A$4:$C$41,2,TRUE)))</f>
        <v>Semi remorque</v>
      </c>
      <c r="D344" s="38" t="str">
        <f>IF(ISNA(VLOOKUP(Tableau13[[#This Row],[Code]],'Code Véhicule'!$A$4:$C$185,3,0)),"",VLOOKUP(Tableau13[[#This Row],[Code]],'Code Véhicule'!$A$4:$C$185,3,0))</f>
        <v>VOLVO</v>
      </c>
      <c r="E344" s="36" t="str">
        <f>IF(ISNA(VLOOKUP(Tableau13[[#This Row],[Code]],'Code Véhicule'!$A$4:$D$185,4,0))," ",VLOOKUP(Tableau13[[#This Row],[Code]],'Code Véhicule'!$A$4:$D$185,4,0))</f>
        <v xml:space="preserve">17885-A-73 </v>
      </c>
      <c r="F344" s="36">
        <v>23339</v>
      </c>
      <c r="G344" s="38" t="s">
        <v>353</v>
      </c>
      <c r="H344" s="38" t="s">
        <v>729</v>
      </c>
      <c r="I344" s="36" t="s">
        <v>304</v>
      </c>
      <c r="J344" s="36" t="s">
        <v>755</v>
      </c>
      <c r="K344" s="36">
        <v>152155</v>
      </c>
      <c r="L344" s="40">
        <v>180</v>
      </c>
      <c r="M344" s="36">
        <v>180</v>
      </c>
      <c r="N344" s="41">
        <v>44114</v>
      </c>
      <c r="O344" s="38"/>
      <c r="P344" s="38"/>
      <c r="Q344" s="176" t="e">
        <f>MONTH([1]!Tableau13[[#This Row],[Date début]])</f>
        <v>#REF!</v>
      </c>
      <c r="R344" s="180" t="e">
        <f>YEAR([1]!Tableau13[[#This Row],[Date début]])</f>
        <v>#REF!</v>
      </c>
    </row>
    <row r="345" spans="1:18" ht="15.75" customHeight="1">
      <c r="A345" s="35">
        <v>44115</v>
      </c>
      <c r="B345" s="36">
        <v>428</v>
      </c>
      <c r="C345" s="37" t="str">
        <f>IF(ISNA(VLOOKUP(Tableau13[[#This Row],[Code]],'Code Véhicule'!$A$4:$C$41,2,TRUE)),"",(VLOOKUP(Tableau13[[#This Row],[Code]],'Code Véhicule'!$A$4:$C$41,2,TRUE)))</f>
        <v>Chariot elevateur</v>
      </c>
      <c r="D345" s="38" t="str">
        <f>IF(ISNA(VLOOKUP(Tableau13[[#This Row],[Code]],'Code Véhicule'!$A$4:$C$185,3,0)),"",VLOOKUP(Tableau13[[#This Row],[Code]],'Code Véhicule'!$A$4:$C$185,3,0))</f>
        <v>Linde H30</v>
      </c>
      <c r="E345" s="36" t="str">
        <f>IF(ISNA(VLOOKUP(Tableau13[[#This Row],[Code]],'Code Véhicule'!$A$4:$D$185,4,0))," ",VLOOKUP(Tableau13[[#This Row],[Code]],'Code Véhicule'!$A$4:$D$185,4,0))</f>
        <v>-</v>
      </c>
      <c r="F345" s="36">
        <v>24987</v>
      </c>
      <c r="G345" s="38" t="s">
        <v>393</v>
      </c>
      <c r="H345" s="38" t="s">
        <v>661</v>
      </c>
      <c r="I345" s="36" t="s">
        <v>304</v>
      </c>
      <c r="J345" s="36" t="s">
        <v>819</v>
      </c>
      <c r="K345" s="36">
        <v>154158</v>
      </c>
      <c r="L345" s="40">
        <v>180</v>
      </c>
      <c r="M345" s="36">
        <v>180</v>
      </c>
      <c r="N345" s="41">
        <v>44146</v>
      </c>
      <c r="O345" s="38"/>
      <c r="P345" s="38"/>
      <c r="Q345" s="176" t="e">
        <f>MONTH([1]!Tableau13[[#This Row],[Date début]])</f>
        <v>#REF!</v>
      </c>
      <c r="R345" s="180" t="e">
        <f>YEAR([1]!Tableau13[[#This Row],[Date début]])</f>
        <v>#REF!</v>
      </c>
    </row>
    <row r="346" spans="1:18" ht="30" customHeight="1">
      <c r="A346" s="35">
        <v>44116</v>
      </c>
      <c r="B346" s="36">
        <v>428</v>
      </c>
      <c r="C346" s="37" t="str">
        <f>IF(ISNA(VLOOKUP(Tableau13[[#This Row],[Code]],'Code Véhicule'!$A$4:$C$41,2,TRUE)),"",(VLOOKUP(Tableau13[[#This Row],[Code]],'Code Véhicule'!$A$4:$C$41,2,TRUE)))</f>
        <v>Chariot elevateur</v>
      </c>
      <c r="D346" s="38" t="str">
        <f>IF(ISNA(VLOOKUP(Tableau13[[#This Row],[Code]],'Code Véhicule'!$A$4:$C$185,3,0)),"",VLOOKUP(Tableau13[[#This Row],[Code]],'Code Véhicule'!$A$4:$C$185,3,0))</f>
        <v>Linde H30</v>
      </c>
      <c r="E346" s="36" t="str">
        <f>IF(ISNA(VLOOKUP(Tableau13[[#This Row],[Code]],'Code Véhicule'!$A$4:$D$185,4,0))," ",VLOOKUP(Tableau13[[#This Row],[Code]],'Code Véhicule'!$A$4:$D$185,4,0))</f>
        <v>-</v>
      </c>
      <c r="F346" s="36">
        <v>24959</v>
      </c>
      <c r="G346" s="38" t="s">
        <v>556</v>
      </c>
      <c r="H346" s="38" t="s">
        <v>608</v>
      </c>
      <c r="I346" s="36" t="s">
        <v>302</v>
      </c>
      <c r="J346" s="36" t="s">
        <v>784</v>
      </c>
      <c r="K346" s="36">
        <v>152161</v>
      </c>
      <c r="L346" s="40">
        <v>60</v>
      </c>
      <c r="M346" s="36">
        <v>60</v>
      </c>
      <c r="N346" s="41">
        <v>44116</v>
      </c>
      <c r="O346" s="38"/>
      <c r="P346" s="38"/>
      <c r="Q346" s="176" t="e">
        <f>MONTH([1]!Tableau13[[#This Row],[Date début]])</f>
        <v>#REF!</v>
      </c>
      <c r="R346" s="180" t="e">
        <f>YEAR([1]!Tableau13[[#This Row],[Date début]])</f>
        <v>#REF!</v>
      </c>
    </row>
    <row r="347" spans="1:18" ht="45" customHeight="1">
      <c r="A347" s="35">
        <v>44117</v>
      </c>
      <c r="B347" s="36">
        <v>431</v>
      </c>
      <c r="C347" s="37" t="str">
        <f>IF(ISNA(VLOOKUP(Tableau13[[#This Row],[Code]],'Code Véhicule'!$A$4:$C$41,2,TRUE)),"",(VLOOKUP(Tableau13[[#This Row],[Code]],'Code Véhicule'!$A$4:$C$41,2,TRUE)))</f>
        <v>Chariot elevateur</v>
      </c>
      <c r="D347" s="38" t="str">
        <f>IF(ISNA(VLOOKUP(Tableau13[[#This Row],[Code]],'Code Véhicule'!$A$4:$C$185,3,0)),"",VLOOKUP(Tableau13[[#This Row],[Code]],'Code Véhicule'!$A$4:$C$185,3,0))</f>
        <v>Manitou M26-2</v>
      </c>
      <c r="E347" s="36" t="str">
        <f>IF(ISNA(VLOOKUP(Tableau13[[#This Row],[Code]],'Code Véhicule'!$A$4:$D$185,4,0))," ",VLOOKUP(Tableau13[[#This Row],[Code]],'Code Véhicule'!$A$4:$D$185,4,0))</f>
        <v>-</v>
      </c>
      <c r="F347" s="36">
        <v>24958</v>
      </c>
      <c r="G347" s="38" t="s">
        <v>556</v>
      </c>
      <c r="H347" s="38" t="s">
        <v>608</v>
      </c>
      <c r="I347" s="36" t="s">
        <v>304</v>
      </c>
      <c r="J347" s="36" t="s">
        <v>783</v>
      </c>
      <c r="K347" s="36">
        <v>152162</v>
      </c>
      <c r="L347" s="40">
        <v>180</v>
      </c>
      <c r="M347" s="36">
        <v>180</v>
      </c>
      <c r="N347" s="41">
        <v>44117</v>
      </c>
      <c r="O347" s="38"/>
      <c r="P347" s="38"/>
      <c r="Q347" s="176" t="e">
        <f>MONTH([1]!Tableau13[[#This Row],[Date début]])</f>
        <v>#REF!</v>
      </c>
      <c r="R347" s="180" t="e">
        <f>YEAR([1]!Tableau13[[#This Row],[Date début]])</f>
        <v>#REF!</v>
      </c>
    </row>
    <row r="348" spans="1:18" ht="135" customHeight="1">
      <c r="A348" s="35">
        <v>44118</v>
      </c>
      <c r="B348" s="36">
        <v>407</v>
      </c>
      <c r="C348" s="37" t="str">
        <f>IF(ISNA(VLOOKUP(Tableau13[[#This Row],[Code]],'Code Véhicule'!$A$4:$C$41,2,TRUE)),"",(VLOOKUP(Tableau13[[#This Row],[Code]],'Code Véhicule'!$A$4:$C$41,2,TRUE)))</f>
        <v>Semi remorque</v>
      </c>
      <c r="D348" s="38" t="str">
        <f>IF(ISNA(VLOOKUP(Tableau13[[#This Row],[Code]],'Code Véhicule'!$A$4:$C$185,3,0)),"",VLOOKUP(Tableau13[[#This Row],[Code]],'Code Véhicule'!$A$4:$C$185,3,0))</f>
        <v>MAN</v>
      </c>
      <c r="E348" s="36" t="str">
        <f>IF(ISNA(VLOOKUP(Tableau13[[#This Row],[Code]],'Code Véhicule'!$A$4:$D$185,4,0))," ",VLOOKUP(Tableau13[[#This Row],[Code]],'Code Véhicule'!$A$4:$D$185,4,0))</f>
        <v>706-A-73</v>
      </c>
      <c r="F348" s="36">
        <v>23349</v>
      </c>
      <c r="G348" s="38" t="s">
        <v>769</v>
      </c>
      <c r="H348" s="38" t="s">
        <v>770</v>
      </c>
      <c r="I348" s="36" t="s">
        <v>304</v>
      </c>
      <c r="J348" s="36" t="s">
        <v>771</v>
      </c>
      <c r="K348" s="36" t="s">
        <v>772</v>
      </c>
      <c r="L348" s="40">
        <v>4520</v>
      </c>
      <c r="M348" s="36">
        <v>15960</v>
      </c>
      <c r="N348" s="41">
        <v>44147</v>
      </c>
      <c r="O348" s="38"/>
      <c r="P348" s="38"/>
      <c r="Q348" s="176" t="e">
        <f>MONTH([1]!Tableau13[[#This Row],[Date début]])</f>
        <v>#REF!</v>
      </c>
      <c r="R348" s="180" t="e">
        <f>YEAR([1]!Tableau13[[#This Row],[Date début]])</f>
        <v>#REF!</v>
      </c>
    </row>
    <row r="349" spans="1:18" ht="15.75" customHeight="1">
      <c r="A349" s="35">
        <v>44118</v>
      </c>
      <c r="B349" s="36">
        <v>439</v>
      </c>
      <c r="C349" s="37" t="str">
        <f>IF(ISNA(VLOOKUP(Tableau13[[#This Row],[Code]],'Code Véhicule'!$A$4:$C$41,2,TRUE)),"",(VLOOKUP(Tableau13[[#This Row],[Code]],'Code Véhicule'!$A$4:$C$41,2,TRUE)))</f>
        <v>Semi remorque</v>
      </c>
      <c r="D349" s="38" t="str">
        <f>IF(ISNA(VLOOKUP(Tableau13[[#This Row],[Code]],'Code Véhicule'!$A$4:$C$185,3,0)),"",VLOOKUP(Tableau13[[#This Row],[Code]],'Code Véhicule'!$A$4:$C$185,3,0))</f>
        <v>VOLVO</v>
      </c>
      <c r="E349" s="36" t="str">
        <f>IF(ISNA(VLOOKUP(Tableau13[[#This Row],[Code]],'Code Véhicule'!$A$4:$D$185,4,0))," ",VLOOKUP(Tableau13[[#This Row],[Code]],'Code Véhicule'!$A$4:$D$185,4,0))</f>
        <v xml:space="preserve">17886-A-73 </v>
      </c>
      <c r="F349" s="36">
        <v>24956</v>
      </c>
      <c r="G349" s="38" t="s">
        <v>560</v>
      </c>
      <c r="H349" s="38" t="s">
        <v>604</v>
      </c>
      <c r="I349" s="36" t="s">
        <v>304</v>
      </c>
      <c r="J349" s="36" t="s">
        <v>372</v>
      </c>
      <c r="K349" s="36">
        <v>152167</v>
      </c>
      <c r="L349" s="40">
        <v>60</v>
      </c>
      <c r="M349" s="36">
        <v>60</v>
      </c>
      <c r="N349" s="41">
        <v>44118</v>
      </c>
      <c r="O349" s="38"/>
      <c r="P349" s="38"/>
      <c r="Q349" s="176" t="e">
        <f>MONTH([1]!Tableau13[[#This Row],[Date début]])</f>
        <v>#REF!</v>
      </c>
      <c r="R349" s="180" t="e">
        <f>YEAR([1]!Tableau13[[#This Row],[Date début]])</f>
        <v>#REF!</v>
      </c>
    </row>
    <row r="350" spans="1:18" ht="15.75" customHeight="1">
      <c r="A350" s="35">
        <v>44118</v>
      </c>
      <c r="B350" s="36">
        <v>438</v>
      </c>
      <c r="C350" s="37" t="str">
        <f>IF(ISNA(VLOOKUP(Tableau13[[#This Row],[Code]],'Code Véhicule'!$A$4:$C$41,2,TRUE)),"",(VLOOKUP(Tableau13[[#This Row],[Code]],'Code Véhicule'!$A$4:$C$41,2,TRUE)))</f>
        <v>Semi remorque</v>
      </c>
      <c r="D350" s="38" t="str">
        <f>IF(ISNA(VLOOKUP(Tableau13[[#This Row],[Code]],'Code Véhicule'!$A$4:$C$185,3,0)),"",VLOOKUP(Tableau13[[#This Row],[Code]],'Code Véhicule'!$A$4:$C$185,3,0))</f>
        <v>VOLVO</v>
      </c>
      <c r="E350" s="36" t="str">
        <f>IF(ISNA(VLOOKUP(Tableau13[[#This Row],[Code]],'Code Véhicule'!$A$4:$D$185,4,0))," ",VLOOKUP(Tableau13[[#This Row],[Code]],'Code Véhicule'!$A$4:$D$185,4,0))</f>
        <v xml:space="preserve">17885-A-73 </v>
      </c>
      <c r="F350" s="36">
        <v>24957</v>
      </c>
      <c r="G350" s="38" t="s">
        <v>560</v>
      </c>
      <c r="H350" s="38" t="s">
        <v>604</v>
      </c>
      <c r="I350" s="36" t="s">
        <v>304</v>
      </c>
      <c r="J350" s="36" t="s">
        <v>372</v>
      </c>
      <c r="K350" s="36">
        <v>152164</v>
      </c>
      <c r="L350" s="40">
        <v>120</v>
      </c>
      <c r="M350" s="36">
        <v>120</v>
      </c>
      <c r="N350" s="41">
        <v>44118</v>
      </c>
      <c r="O350" s="38"/>
      <c r="P350" s="38"/>
      <c r="Q350" s="176" t="e">
        <f>MONTH([1]!Tableau13[[#This Row],[Date début]])</f>
        <v>#REF!</v>
      </c>
      <c r="R350" s="180" t="e">
        <f>YEAR([1]!Tableau13[[#This Row],[Date début]])</f>
        <v>#REF!</v>
      </c>
    </row>
    <row r="351" spans="1:18" ht="60" customHeight="1">
      <c r="A351" s="35">
        <v>44118</v>
      </c>
      <c r="B351" s="36">
        <v>435</v>
      </c>
      <c r="C351" s="37" t="str">
        <f>IF(ISNA(VLOOKUP(Tableau13[[#This Row],[Code]],'Code Véhicule'!$A$4:$C$41,2,TRUE)),"",(VLOOKUP(Tableau13[[#This Row],[Code]],'Code Véhicule'!$A$4:$C$41,2,TRUE)))</f>
        <v>Camion</v>
      </c>
      <c r="D351" s="38" t="str">
        <f>IF(ISNA(VLOOKUP(Tableau13[[#This Row],[Code]],'Code Véhicule'!$A$4:$C$185,3,0)),"",VLOOKUP(Tableau13[[#This Row],[Code]],'Code Véhicule'!$A$4:$C$185,3,0))</f>
        <v>Mitsubishi</v>
      </c>
      <c r="E351" s="36" t="str">
        <f>IF(ISNA(VLOOKUP(Tableau13[[#This Row],[Code]],'Code Véhicule'!$A$4:$D$185,4,0))," ",VLOOKUP(Tableau13[[#This Row],[Code]],'Code Véhicule'!$A$4:$D$185,4,0))</f>
        <v xml:space="preserve"> 11469-A-73</v>
      </c>
      <c r="F351" s="36">
        <v>24962</v>
      </c>
      <c r="G351" s="38" t="s">
        <v>545</v>
      </c>
      <c r="H351" s="38" t="s">
        <v>787</v>
      </c>
      <c r="I351" s="36" t="s">
        <v>304</v>
      </c>
      <c r="J351" s="36" t="s">
        <v>788</v>
      </c>
      <c r="K351" s="36" t="s">
        <v>789</v>
      </c>
      <c r="L351" s="40">
        <v>1140</v>
      </c>
      <c r="M351" s="36">
        <v>1140</v>
      </c>
      <c r="N351" s="41">
        <v>44119</v>
      </c>
      <c r="O351" s="38"/>
      <c r="P351" s="38"/>
      <c r="Q351" s="176" t="e">
        <f>MONTH([1]!Tableau13[[#This Row],[Date début]])</f>
        <v>#REF!</v>
      </c>
      <c r="R351" s="180" t="e">
        <f>YEAR([1]!Tableau13[[#This Row],[Date début]])</f>
        <v>#REF!</v>
      </c>
    </row>
    <row r="352" spans="1:18" ht="60" customHeight="1">
      <c r="A352" s="35">
        <v>44119</v>
      </c>
      <c r="B352" s="36">
        <v>411</v>
      </c>
      <c r="C352" s="37" t="str">
        <f>IF(ISNA(VLOOKUP(Tableau13[[#This Row],[Code]],'Code Véhicule'!$A$4:$C$41,2,TRUE)),"",(VLOOKUP(Tableau13[[#This Row],[Code]],'Code Véhicule'!$A$4:$C$41,2,TRUE)))</f>
        <v>Camion</v>
      </c>
      <c r="D352" s="38" t="str">
        <f>IF(ISNA(VLOOKUP(Tableau13[[#This Row],[Code]],'Code Véhicule'!$A$4:$C$185,3,0)),"",VLOOKUP(Tableau13[[#This Row],[Code]],'Code Véhicule'!$A$4:$C$185,3,0))</f>
        <v>Renault</v>
      </c>
      <c r="E352" s="36" t="str">
        <f>IF(ISNA(VLOOKUP(Tableau13[[#This Row],[Code]],'Code Véhicule'!$A$4:$D$185,4,0))," ",VLOOKUP(Tableau13[[#This Row],[Code]],'Code Véhicule'!$A$4:$D$185,4,0))</f>
        <v>25636-A-13</v>
      </c>
      <c r="F352" s="36">
        <v>24955</v>
      </c>
      <c r="G352" s="38" t="s">
        <v>556</v>
      </c>
      <c r="H352" s="38" t="s">
        <v>608</v>
      </c>
      <c r="I352" s="36" t="s">
        <v>322</v>
      </c>
      <c r="J352" s="36" t="s">
        <v>782</v>
      </c>
      <c r="K352" s="36">
        <v>152169</v>
      </c>
      <c r="L352" s="40">
        <v>180</v>
      </c>
      <c r="M352" s="36">
        <v>180</v>
      </c>
      <c r="N352" s="50">
        <v>44119</v>
      </c>
      <c r="O352" s="38">
        <v>1</v>
      </c>
      <c r="P352" s="38"/>
      <c r="Q352" s="176" t="e">
        <f>MONTH([1]!Tableau13[[#This Row],[Date début]])</f>
        <v>#REF!</v>
      </c>
      <c r="R352" s="180" t="e">
        <f>YEAR([1]!Tableau13[[#This Row],[Date début]])</f>
        <v>#REF!</v>
      </c>
    </row>
    <row r="353" spans="1:18" ht="15.75" customHeight="1">
      <c r="A353" s="35">
        <v>44119</v>
      </c>
      <c r="B353" s="36">
        <v>410</v>
      </c>
      <c r="C353" s="37" t="str">
        <f>IF(ISNA(VLOOKUP(Tableau13[[#This Row],[Code]],'Code Véhicule'!$A$4:$C$41,2,TRUE)),"",(VLOOKUP(Tableau13[[#This Row],[Code]],'Code Véhicule'!$A$4:$C$41,2,TRUE)))</f>
        <v>Semi remorque</v>
      </c>
      <c r="D353" s="38" t="str">
        <f>IF(ISNA(VLOOKUP(Tableau13[[#This Row],[Code]],'Code Véhicule'!$A$4:$C$185,3,0)),"",VLOOKUP(Tableau13[[#This Row],[Code]],'Code Véhicule'!$A$4:$C$185,3,0))</f>
        <v>MAN</v>
      </c>
      <c r="E353" s="36" t="str">
        <f>IF(ISNA(VLOOKUP(Tableau13[[#This Row],[Code]],'Code Véhicule'!$A$4:$D$185,4,0))," ",VLOOKUP(Tableau13[[#This Row],[Code]],'Code Véhicule'!$A$4:$D$185,4,0))</f>
        <v xml:space="preserve">28659-D-1 </v>
      </c>
      <c r="F353" s="36">
        <v>24961</v>
      </c>
      <c r="G353" s="38" t="s">
        <v>560</v>
      </c>
      <c r="H353" s="38" t="s">
        <v>604</v>
      </c>
      <c r="I353" s="36" t="s">
        <v>304</v>
      </c>
      <c r="J353" s="36" t="s">
        <v>786</v>
      </c>
      <c r="K353" s="36">
        <v>152171</v>
      </c>
      <c r="L353" s="40">
        <v>30</v>
      </c>
      <c r="M353" s="36">
        <v>30</v>
      </c>
      <c r="N353" s="41">
        <v>44119</v>
      </c>
      <c r="O353" s="38"/>
      <c r="P353" s="38"/>
      <c r="Q353" s="176" t="e">
        <f>MONTH([1]!Tableau13[[#This Row],[Date début]])</f>
        <v>#REF!</v>
      </c>
      <c r="R353" s="180" t="e">
        <f>YEAR([1]!Tableau13[[#This Row],[Date début]])</f>
        <v>#REF!</v>
      </c>
    </row>
    <row r="354" spans="1:18" ht="15.75" customHeight="1">
      <c r="A354" s="35">
        <v>44120</v>
      </c>
      <c r="B354" s="36">
        <v>429</v>
      </c>
      <c r="C354" s="37" t="str">
        <f>IF(ISNA(VLOOKUP(Tableau13[[#This Row],[Code]],'Code Véhicule'!$A$4:$C$41,2,TRUE)),"",(VLOOKUP(Tableau13[[#This Row],[Code]],'Code Véhicule'!$A$4:$C$41,2,TRUE)))</f>
        <v>Chariot elevateur</v>
      </c>
      <c r="D354" s="38" t="str">
        <f>IF(ISNA(VLOOKUP(Tableau13[[#This Row],[Code]],'Code Véhicule'!$A$4:$C$185,3,0)),"",VLOOKUP(Tableau13[[#This Row],[Code]],'Code Véhicule'!$A$4:$C$185,3,0))</f>
        <v>Fenwick HD30</v>
      </c>
      <c r="E354" s="36" t="str">
        <f>IF(ISNA(VLOOKUP(Tableau13[[#This Row],[Code]],'Code Véhicule'!$A$4:$D$185,4,0))," ",VLOOKUP(Tableau13[[#This Row],[Code]],'Code Véhicule'!$A$4:$D$185,4,0))</f>
        <v>-</v>
      </c>
      <c r="F354" s="36">
        <v>24963</v>
      </c>
      <c r="G354" s="38" t="s">
        <v>697</v>
      </c>
      <c r="H354" s="38" t="s">
        <v>698</v>
      </c>
      <c r="I354" s="36" t="s">
        <v>304</v>
      </c>
      <c r="J354" s="36" t="s">
        <v>790</v>
      </c>
      <c r="K354" s="36">
        <v>152173</v>
      </c>
      <c r="L354" s="40">
        <v>180</v>
      </c>
      <c r="M354" s="36">
        <v>180</v>
      </c>
      <c r="N354" s="41">
        <v>44120</v>
      </c>
      <c r="O354" s="38"/>
      <c r="P354" s="38"/>
      <c r="Q354" s="176" t="e">
        <f>MONTH([1]!Tableau13[[#This Row],[Date début]])</f>
        <v>#REF!</v>
      </c>
      <c r="R354" s="180" t="e">
        <f>YEAR([1]!Tableau13[[#This Row],[Date début]])</f>
        <v>#REF!</v>
      </c>
    </row>
    <row r="355" spans="1:18" ht="30" customHeight="1">
      <c r="A355" s="35">
        <v>44120</v>
      </c>
      <c r="B355" s="36">
        <v>433</v>
      </c>
      <c r="C355" s="37" t="str">
        <f>IF(ISNA(VLOOKUP(Tableau13[[#This Row],[Code]],'Code Véhicule'!$A$4:$C$41,2,TRUE)),"",(VLOOKUP(Tableau13[[#This Row],[Code]],'Code Véhicule'!$A$4:$C$41,2,TRUE)))</f>
        <v>Voiture de fonction</v>
      </c>
      <c r="D355" s="38" t="str">
        <f>IF(ISNA(VLOOKUP(Tableau13[[#This Row],[Code]],'Code Véhicule'!$A$4:$C$185,3,0)),"",VLOOKUP(Tableau13[[#This Row],[Code]],'Code Véhicule'!$A$4:$C$185,3,0))</f>
        <v>Berlingo</v>
      </c>
      <c r="E355" s="36" t="str">
        <f>IF(ISNA(VLOOKUP(Tableau13[[#This Row],[Code]],'Code Véhicule'!$A$4:$D$185,4,0))," ",VLOOKUP(Tableau13[[#This Row],[Code]],'Code Véhicule'!$A$4:$D$185,4,0))</f>
        <v>10551-A-73</v>
      </c>
      <c r="F355" s="36">
        <v>24964</v>
      </c>
      <c r="G355" s="38" t="s">
        <v>397</v>
      </c>
      <c r="H355" s="38" t="s">
        <v>791</v>
      </c>
      <c r="I355" s="36" t="s">
        <v>304</v>
      </c>
      <c r="J355" s="36" t="s">
        <v>792</v>
      </c>
      <c r="K355" s="36" t="s">
        <v>902</v>
      </c>
      <c r="L355" s="40">
        <v>570</v>
      </c>
      <c r="M355" s="36">
        <v>570</v>
      </c>
      <c r="N355" s="41">
        <v>44120</v>
      </c>
      <c r="O355" s="38"/>
      <c r="P355" s="38"/>
      <c r="Q355" s="176" t="e">
        <f>MONTH([1]!Tableau13[[#This Row],[Date début]])</f>
        <v>#REF!</v>
      </c>
      <c r="R355" s="180" t="e">
        <f>YEAR([1]!Tableau13[[#This Row],[Date début]])</f>
        <v>#REF!</v>
      </c>
    </row>
    <row r="356" spans="1:18" ht="120" customHeight="1">
      <c r="A356" s="35">
        <v>44120</v>
      </c>
      <c r="B356" s="36">
        <v>417</v>
      </c>
      <c r="C356" s="37" t="str">
        <f>IF(ISNA(VLOOKUP(Tableau13[[#This Row],[Code]],'Code Véhicule'!$A$4:$C$41,2,TRUE)),"",(VLOOKUP(Tableau13[[#This Row],[Code]],'Code Véhicule'!$A$4:$C$41,2,TRUE)))</f>
        <v>Voiture de fonction</v>
      </c>
      <c r="D356" s="38" t="str">
        <f>IF(ISNA(VLOOKUP(Tableau13[[#This Row],[Code]],'Code Véhicule'!$A$4:$C$185,3,0)),"",VLOOKUP(Tableau13[[#This Row],[Code]],'Code Véhicule'!$A$4:$C$185,3,0))</f>
        <v>Berlingo</v>
      </c>
      <c r="E356" s="36" t="str">
        <f>IF(ISNA(VLOOKUP(Tableau13[[#This Row],[Code]],'Code Véhicule'!$A$4:$D$185,4,0))," ",VLOOKUP(Tableau13[[#This Row],[Code]],'Code Véhicule'!$A$4:$D$185,4,0))</f>
        <v>981-A-73</v>
      </c>
      <c r="F356" s="36">
        <v>24970</v>
      </c>
      <c r="G356" s="38" t="s">
        <v>798</v>
      </c>
      <c r="H356" s="38" t="s">
        <v>799</v>
      </c>
      <c r="I356" s="36" t="s">
        <v>304</v>
      </c>
      <c r="J356" s="36" t="s">
        <v>800</v>
      </c>
      <c r="K356" s="36"/>
      <c r="L356" s="40"/>
      <c r="M356" s="36" t="str">
        <f>IF(ISBLANK(Tableau13[[#This Row],[N BS]]),"",(Tableau13[[#This Row],[N BS]]-Tableau13[[#This Row],[Date début]]))</f>
        <v/>
      </c>
      <c r="N356" s="36"/>
      <c r="O356" s="38"/>
      <c r="P356" s="38"/>
      <c r="Q356" s="176" t="e">
        <f>MONTH([1]!Tableau13[[#This Row],[Date début]])</f>
        <v>#REF!</v>
      </c>
      <c r="R356" s="180" t="e">
        <f>YEAR([1]!Tableau13[[#This Row],[Date début]])</f>
        <v>#REF!</v>
      </c>
    </row>
    <row r="357" spans="1:18" ht="30" customHeight="1">
      <c r="A357" s="35">
        <v>44120</v>
      </c>
      <c r="B357" s="36">
        <v>480</v>
      </c>
      <c r="C357" s="37" t="str">
        <f>IF(ISNA(VLOOKUP(Tableau13[[#This Row],[Code]],'Code Véhicule'!$A$4:$C$41,2,TRUE)),"",(VLOOKUP(Tableau13[[#This Row],[Code]],'Code Véhicule'!$A$4:$C$41,2,TRUE)))</f>
        <v>Camion</v>
      </c>
      <c r="D357" s="38" t="str">
        <f>IF(ISNA(VLOOKUP(Tableau13[[#This Row],[Code]],'Code Véhicule'!$A$4:$C$185,3,0)),"",VLOOKUP(Tableau13[[#This Row],[Code]],'Code Véhicule'!$A$4:$C$185,3,0))</f>
        <v>VOLVO</v>
      </c>
      <c r="E357" s="36" t="str">
        <f>IF(ISNA(VLOOKUP(Tableau13[[#This Row],[Code]],'Code Véhicule'!$A$4:$D$185,4,0))," ",VLOOKUP(Tableau13[[#This Row],[Code]],'Code Véhicule'!$A$4:$D$185,4,0))</f>
        <v>22299-A-73</v>
      </c>
      <c r="F357" s="36">
        <v>24977</v>
      </c>
      <c r="G357" s="38" t="s">
        <v>393</v>
      </c>
      <c r="H357" s="38" t="s">
        <v>608</v>
      </c>
      <c r="I357" s="36" t="s">
        <v>304</v>
      </c>
      <c r="J357" s="36" t="s">
        <v>807</v>
      </c>
      <c r="K357" s="36">
        <v>152457</v>
      </c>
      <c r="L357" s="40">
        <v>570</v>
      </c>
      <c r="M357" s="36">
        <v>570</v>
      </c>
      <c r="N357" s="41">
        <v>44120</v>
      </c>
      <c r="O357" s="38"/>
      <c r="P357" s="38"/>
      <c r="Q357" s="176" t="e">
        <f>MONTH([1]!Tableau13[[#This Row],[Date début]])</f>
        <v>#REF!</v>
      </c>
      <c r="R357" s="180" t="e">
        <f>YEAR([1]!Tableau13[[#This Row],[Date début]])</f>
        <v>#REF!</v>
      </c>
    </row>
    <row r="358" spans="1:18" ht="15.75" customHeight="1">
      <c r="A358" s="35">
        <v>44123</v>
      </c>
      <c r="B358" s="36">
        <v>481</v>
      </c>
      <c r="C358" s="37" t="str">
        <f>IF(ISNA(VLOOKUP(Tableau13[[#This Row],[Code]],'Code Véhicule'!$A$4:$C$41,2,TRUE)),"",(VLOOKUP(Tableau13[[#This Row],[Code]],'Code Véhicule'!$A$4:$C$41,2,TRUE)))</f>
        <v>Camion</v>
      </c>
      <c r="D358" s="38" t="str">
        <f>IF(ISNA(VLOOKUP(Tableau13[[#This Row],[Code]],'Code Véhicule'!$A$4:$C$185,3,0)),"",VLOOKUP(Tableau13[[#This Row],[Code]],'Code Véhicule'!$A$4:$C$185,3,0))</f>
        <v>VOLVO</v>
      </c>
      <c r="E358" s="36" t="str">
        <f>IF(ISNA(VLOOKUP(Tableau13[[#This Row],[Code]],'Code Véhicule'!$A$4:$D$185,4,0))," ",VLOOKUP(Tableau13[[#This Row],[Code]],'Code Véhicule'!$A$4:$D$185,4,0))</f>
        <v>22300-A-73</v>
      </c>
      <c r="F358" s="36">
        <v>24978</v>
      </c>
      <c r="G358" s="38" t="s">
        <v>393</v>
      </c>
      <c r="H358" s="38" t="s">
        <v>608</v>
      </c>
      <c r="I358" s="36" t="s">
        <v>304</v>
      </c>
      <c r="J358" s="36" t="s">
        <v>808</v>
      </c>
      <c r="K358" s="36">
        <v>152479</v>
      </c>
      <c r="L358" s="40">
        <v>570</v>
      </c>
      <c r="M358" s="36">
        <v>570</v>
      </c>
      <c r="N358" s="41">
        <v>44123</v>
      </c>
      <c r="O358" s="38"/>
      <c r="P358" s="38"/>
      <c r="Q358" s="176" t="e">
        <f>MONTH([1]!Tableau13[[#This Row],[Date début]])</f>
        <v>#REF!</v>
      </c>
      <c r="R358" s="180" t="e">
        <f>YEAR([1]!Tableau13[[#This Row],[Date début]])</f>
        <v>#REF!</v>
      </c>
    </row>
    <row r="359" spans="1:18" ht="15.75" customHeight="1">
      <c r="A359" s="35">
        <v>44124</v>
      </c>
      <c r="B359" s="36">
        <v>430</v>
      </c>
      <c r="C359" s="37" t="str">
        <f>IF(ISNA(VLOOKUP(Tableau13[[#This Row],[Code]],'Code Véhicule'!$A$4:$C$41,2,TRUE)),"",(VLOOKUP(Tableau13[[#This Row],[Code]],'Code Véhicule'!$A$4:$C$41,2,TRUE)))</f>
        <v>Chariot elevateur</v>
      </c>
      <c r="D359" s="38" t="str">
        <f>IF(ISNA(VLOOKUP(Tableau13[[#This Row],[Code]],'Code Véhicule'!$A$4:$C$185,3,0)),"",VLOOKUP(Tableau13[[#This Row],[Code]],'Code Véhicule'!$A$4:$C$185,3,0))</f>
        <v>Fenwick  H40</v>
      </c>
      <c r="E359" s="36" t="str">
        <f>IF(ISNA(VLOOKUP(Tableau13[[#This Row],[Code]],'Code Véhicule'!$A$4:$D$185,4,0))," ",VLOOKUP(Tableau13[[#This Row],[Code]],'Code Véhicule'!$A$4:$D$185,4,0))</f>
        <v>-</v>
      </c>
      <c r="F359" s="36">
        <v>24966</v>
      </c>
      <c r="G359" s="38" t="s">
        <v>393</v>
      </c>
      <c r="H359" s="38" t="s">
        <v>613</v>
      </c>
      <c r="I359" s="36" t="s">
        <v>302</v>
      </c>
      <c r="J359" s="36" t="s">
        <v>793</v>
      </c>
      <c r="K359" s="36">
        <v>152186</v>
      </c>
      <c r="L359" s="40">
        <v>30</v>
      </c>
      <c r="M359" s="36">
        <v>30</v>
      </c>
      <c r="N359" s="41">
        <v>44124</v>
      </c>
      <c r="O359" s="38"/>
      <c r="P359" s="38"/>
      <c r="Q359" s="176" t="e">
        <f>MONTH([1]!Tableau13[[#This Row],[Date début]])</f>
        <v>#REF!</v>
      </c>
      <c r="R359" s="180" t="e">
        <f>YEAR([1]!Tableau13[[#This Row],[Date début]])</f>
        <v>#REF!</v>
      </c>
    </row>
    <row r="360" spans="1:18" ht="120" customHeight="1">
      <c r="A360" s="35">
        <v>44124</v>
      </c>
      <c r="B360" s="36">
        <v>406</v>
      </c>
      <c r="C360" s="37" t="str">
        <f>IF(ISNA(VLOOKUP(Tableau13[[#This Row],[Code]],'Code Véhicule'!$A$4:$C$41,2,TRUE)),"",(VLOOKUP(Tableau13[[#This Row],[Code]],'Code Véhicule'!$A$4:$C$41,2,TRUE)))</f>
        <v>Semi remorque</v>
      </c>
      <c r="D360" s="38" t="str">
        <f>IF(ISNA(VLOOKUP(Tableau13[[#This Row],[Code]],'Code Véhicule'!$A$4:$C$185,3,0)),"",VLOOKUP(Tableau13[[#This Row],[Code]],'Code Véhicule'!$A$4:$C$185,3,0))</f>
        <v>VOLVO</v>
      </c>
      <c r="E360" s="36" t="str">
        <f>IF(ISNA(VLOOKUP(Tableau13[[#This Row],[Code]],'Code Véhicule'!$A$4:$D$185,4,0))," ",VLOOKUP(Tableau13[[#This Row],[Code]],'Code Véhicule'!$A$4:$D$185,4,0))</f>
        <v>70352-A-6</v>
      </c>
      <c r="F360" s="36">
        <v>24968</v>
      </c>
      <c r="G360" s="38" t="s">
        <v>794</v>
      </c>
      <c r="H360" s="38" t="s">
        <v>795</v>
      </c>
      <c r="I360" s="36" t="s">
        <v>304</v>
      </c>
      <c r="J360" s="36" t="s">
        <v>796</v>
      </c>
      <c r="K360" s="36" t="s">
        <v>797</v>
      </c>
      <c r="L360" s="40">
        <v>4560</v>
      </c>
      <c r="M360" s="36">
        <v>7410</v>
      </c>
      <c r="N360" s="41">
        <v>44139</v>
      </c>
      <c r="O360" s="38"/>
      <c r="P360" s="38"/>
      <c r="Q360" s="176" t="e">
        <f>MONTH([1]!Tableau13[[#This Row],[Date début]])</f>
        <v>#REF!</v>
      </c>
      <c r="R360" s="180" t="e">
        <f>YEAR([1]!Tableau13[[#This Row],[Date début]])</f>
        <v>#REF!</v>
      </c>
    </row>
    <row r="361" spans="1:18" ht="15.75" customHeight="1">
      <c r="A361" s="35">
        <v>44125</v>
      </c>
      <c r="B361" s="36">
        <v>409</v>
      </c>
      <c r="C361" s="37" t="str">
        <f>IF(ISNA(VLOOKUP(Tableau13[[#This Row],[Code]],'Code Véhicule'!$A$4:$C$41,2,TRUE)),"",(VLOOKUP(Tableau13[[#This Row],[Code]],'Code Véhicule'!$A$4:$C$41,2,TRUE)))</f>
        <v>Camion</v>
      </c>
      <c r="D361" s="38" t="str">
        <f>IF(ISNA(VLOOKUP(Tableau13[[#This Row],[Code]],'Code Véhicule'!$A$4:$C$185,3,0)),"",VLOOKUP(Tableau13[[#This Row],[Code]],'Code Véhicule'!$A$4:$C$185,3,0))</f>
        <v>Mitsubishi</v>
      </c>
      <c r="E361" s="36" t="str">
        <f>IF(ISNA(VLOOKUP(Tableau13[[#This Row],[Code]],'Code Véhicule'!$A$4:$D$185,4,0))," ",VLOOKUP(Tableau13[[#This Row],[Code]],'Code Véhicule'!$A$4:$D$185,4,0))</f>
        <v xml:space="preserve">4969-A-73 </v>
      </c>
      <c r="F361" s="36">
        <v>24967</v>
      </c>
      <c r="G361" s="38" t="s">
        <v>560</v>
      </c>
      <c r="H361" s="38" t="s">
        <v>604</v>
      </c>
      <c r="I361" s="36" t="s">
        <v>304</v>
      </c>
      <c r="J361" s="36" t="s">
        <v>786</v>
      </c>
      <c r="K361" s="36">
        <v>152187</v>
      </c>
      <c r="L361" s="40">
        <v>120</v>
      </c>
      <c r="M361" s="36">
        <v>120</v>
      </c>
      <c r="N361" s="41">
        <v>44125</v>
      </c>
      <c r="O361" s="38"/>
      <c r="P361" s="38"/>
      <c r="Q361" s="176" t="e">
        <f>MONTH([1]!Tableau13[[#This Row],[Date début]])</f>
        <v>#REF!</v>
      </c>
      <c r="R361" s="180" t="e">
        <f>YEAR([1]!Tableau13[[#This Row],[Date début]])</f>
        <v>#REF!</v>
      </c>
    </row>
    <row r="362" spans="1:18" ht="15.75" customHeight="1">
      <c r="A362" s="35">
        <v>44127</v>
      </c>
      <c r="B362" s="36">
        <v>436</v>
      </c>
      <c r="C362" s="37" t="str">
        <f>IF(ISNA(VLOOKUP(Tableau13[[#This Row],[Code]],'Code Véhicule'!$A$4:$C$41,2,TRUE)),"",(VLOOKUP(Tableau13[[#This Row],[Code]],'Code Véhicule'!$A$4:$C$41,2,TRUE)))</f>
        <v>Camion</v>
      </c>
      <c r="D362" s="38" t="str">
        <f>IF(ISNA(VLOOKUP(Tableau13[[#This Row],[Code]],'Code Véhicule'!$A$4:$C$185,3,0)),"",VLOOKUP(Tableau13[[#This Row],[Code]],'Code Véhicule'!$A$4:$C$185,3,0))</f>
        <v>Mitsubishi</v>
      </c>
      <c r="E362" s="36" t="str">
        <f>IF(ISNA(VLOOKUP(Tableau13[[#This Row],[Code]],'Code Véhicule'!$A$4:$D$185,4,0))," ",VLOOKUP(Tableau13[[#This Row],[Code]],'Code Véhicule'!$A$4:$D$185,4,0))</f>
        <v>11470-A-73</v>
      </c>
      <c r="F362" s="36">
        <v>24969</v>
      </c>
      <c r="G362" s="38" t="s">
        <v>560</v>
      </c>
      <c r="H362" s="38" t="s">
        <v>604</v>
      </c>
      <c r="I362" s="36" t="s">
        <v>304</v>
      </c>
      <c r="J362" s="36" t="s">
        <v>786</v>
      </c>
      <c r="K362" s="36">
        <v>152193</v>
      </c>
      <c r="L362" s="40">
        <v>120</v>
      </c>
      <c r="M362" s="36">
        <v>120</v>
      </c>
      <c r="N362" s="41">
        <v>44127</v>
      </c>
      <c r="O362" s="38"/>
      <c r="P362" s="38"/>
      <c r="Q362" s="176" t="e">
        <f>MONTH([1]!Tableau13[[#This Row],[Date début]])</f>
        <v>#REF!</v>
      </c>
      <c r="R362" s="180" t="e">
        <f>YEAR([1]!Tableau13[[#This Row],[Date début]])</f>
        <v>#REF!</v>
      </c>
    </row>
    <row r="363" spans="1:18">
      <c r="A363" s="35">
        <v>44131</v>
      </c>
      <c r="B363" s="36">
        <v>479</v>
      </c>
      <c r="C363" s="37" t="str">
        <f>IF(ISNA(VLOOKUP(Tableau13[[#This Row],[Code]],'Code Véhicule'!$A$4:$C$41,2,TRUE)),"",(VLOOKUP(Tableau13[[#This Row],[Code]],'Code Véhicule'!$A$4:$C$41,2,TRUE)))</f>
        <v>Bus de transport</v>
      </c>
      <c r="D363" s="38" t="str">
        <f>IF(ISNA(VLOOKUP(Tableau13[[#This Row],[Code]],'Code Véhicule'!$A$4:$C$185,3,0)),"",VLOOKUP(Tableau13[[#This Row],[Code]],'Code Véhicule'!$A$4:$C$185,3,0))</f>
        <v>Hyundai County</v>
      </c>
      <c r="E363" s="36" t="str">
        <f>IF(ISNA(VLOOKUP(Tableau13[[#This Row],[Code]],'Code Véhicule'!$A$4:$D$185,4,0))," ",VLOOKUP(Tableau13[[#This Row],[Code]],'Code Véhicule'!$A$4:$D$185,4,0))</f>
        <v>22772-A-73</v>
      </c>
      <c r="F363" s="36">
        <v>24971</v>
      </c>
      <c r="G363" s="38" t="s">
        <v>393</v>
      </c>
      <c r="H363" s="38" t="s">
        <v>608</v>
      </c>
      <c r="I363" s="36" t="s">
        <v>504</v>
      </c>
      <c r="J363" s="36" t="s">
        <v>801</v>
      </c>
      <c r="K363" s="36"/>
      <c r="L363" s="40"/>
      <c r="M363" s="36" t="str">
        <f>IF(ISBLANK(Tableau13[[#This Row],[N BS]]),"",(Tableau13[[#This Row],[N BS]]-Tableau13[[#This Row],[Date début]]))</f>
        <v/>
      </c>
      <c r="N363" s="36"/>
      <c r="O363" s="38"/>
      <c r="P363" s="38"/>
      <c r="Q363" s="176" t="e">
        <f>MONTH([1]!Tableau13[[#This Row],[Date début]])</f>
        <v>#REF!</v>
      </c>
      <c r="R363" s="180" t="e">
        <f>YEAR([1]!Tableau13[[#This Row],[Date début]])</f>
        <v>#REF!</v>
      </c>
    </row>
    <row r="364" spans="1:18" ht="15.75" customHeight="1">
      <c r="A364" s="35">
        <v>44132</v>
      </c>
      <c r="B364" s="36">
        <v>413</v>
      </c>
      <c r="C364" s="37" t="str">
        <f>IF(ISNA(VLOOKUP(Tableau13[[#This Row],[Code]],'Code Véhicule'!$A$4:$C$41,2,TRUE)),"",(VLOOKUP(Tableau13[[#This Row],[Code]],'Code Véhicule'!$A$4:$C$41,2,TRUE)))</f>
        <v>Chargeur</v>
      </c>
      <c r="D364" s="38" t="str">
        <f>IF(ISNA(VLOOKUP(Tableau13[[#This Row],[Code]],'Code Véhicule'!$A$4:$C$185,3,0)),"",VLOOKUP(Tableau13[[#This Row],[Code]],'Code Véhicule'!$A$4:$C$185,3,0))</f>
        <v>Caterpillar</v>
      </c>
      <c r="E364" s="36" t="str">
        <f>IF(ISNA(VLOOKUP(Tableau13[[#This Row],[Code]],'Code Véhicule'!$A$4:$D$185,4,0))," ",VLOOKUP(Tableau13[[#This Row],[Code]],'Code Véhicule'!$A$4:$D$185,4,0))</f>
        <v>-</v>
      </c>
      <c r="F364" s="36">
        <v>24972</v>
      </c>
      <c r="G364" s="38" t="s">
        <v>393</v>
      </c>
      <c r="H364" s="38" t="s">
        <v>613</v>
      </c>
      <c r="I364" s="36" t="s">
        <v>302</v>
      </c>
      <c r="J364" s="36" t="s">
        <v>773</v>
      </c>
      <c r="K364" s="36"/>
      <c r="L364" s="40"/>
      <c r="M364" s="36" t="str">
        <f>IF(ISBLANK(Tableau13[[#This Row],[N BS]]),"",(Tableau13[[#This Row],[N BS]]-Tableau13[[#This Row],[Date début]]))</f>
        <v/>
      </c>
      <c r="N364" s="36"/>
      <c r="O364" s="38"/>
      <c r="P364" s="38"/>
      <c r="Q364" s="176" t="e">
        <f>MONTH([1]!Tableau13[[#This Row],[Date début]])</f>
        <v>#REF!</v>
      </c>
      <c r="R364" s="180" t="e">
        <f>YEAR([1]!Tableau13[[#This Row],[Date début]])</f>
        <v>#REF!</v>
      </c>
    </row>
    <row r="365" spans="1:18" ht="45" customHeight="1">
      <c r="A365" s="35">
        <v>44135</v>
      </c>
      <c r="B365" s="36">
        <v>411</v>
      </c>
      <c r="C365" s="37" t="str">
        <f>IF(ISNA(VLOOKUP(Tableau13[[#This Row],[Code]],'Code Véhicule'!$A$4:$C$41,2,TRUE)),"",(VLOOKUP(Tableau13[[#This Row],[Code]],'Code Véhicule'!$A$4:$C$41,2,TRUE)))</f>
        <v>Camion</v>
      </c>
      <c r="D365" s="38" t="str">
        <f>IF(ISNA(VLOOKUP(Tableau13[[#This Row],[Code]],'Code Véhicule'!$A$4:$C$185,3,0)),"",VLOOKUP(Tableau13[[#This Row],[Code]],'Code Véhicule'!$A$4:$C$185,3,0))</f>
        <v>Renault</v>
      </c>
      <c r="E365" s="36" t="str">
        <f>IF(ISNA(VLOOKUP(Tableau13[[#This Row],[Code]],'Code Véhicule'!$A$4:$D$185,4,0))," ",VLOOKUP(Tableau13[[#This Row],[Code]],'Code Véhicule'!$A$4:$D$185,4,0))</f>
        <v>25636-A-13</v>
      </c>
      <c r="F365" s="36">
        <v>24973</v>
      </c>
      <c r="G365" s="38" t="s">
        <v>703</v>
      </c>
      <c r="H365" s="38" t="s">
        <v>802</v>
      </c>
      <c r="I365" s="36" t="s">
        <v>304</v>
      </c>
      <c r="J365" s="36" t="s">
        <v>803</v>
      </c>
      <c r="K365" s="36" t="s">
        <v>804</v>
      </c>
      <c r="L365" s="40">
        <v>1140</v>
      </c>
      <c r="M365" s="36">
        <v>1140</v>
      </c>
      <c r="N365" s="41">
        <v>44137</v>
      </c>
      <c r="O365" s="38"/>
      <c r="P365" s="38"/>
      <c r="Q365" s="176" t="e">
        <f>MONTH([1]!Tableau13[[#This Row],[Date début]])</f>
        <v>#REF!</v>
      </c>
      <c r="R365" s="180" t="e">
        <f>YEAR([1]!Tableau13[[#This Row],[Date début]])</f>
        <v>#REF!</v>
      </c>
    </row>
    <row r="366" spans="1:18" ht="15.75" customHeight="1">
      <c r="A366" s="35">
        <v>44137</v>
      </c>
      <c r="B366" s="36">
        <v>481</v>
      </c>
      <c r="C366" s="37" t="str">
        <f>IF(ISNA(VLOOKUP(Tableau13[[#This Row],[Code]],'Code Véhicule'!$A$4:$C$41,2,TRUE)),"",(VLOOKUP(Tableau13[[#This Row],[Code]],'Code Véhicule'!$A$4:$C$41,2,TRUE)))</f>
        <v>Camion</v>
      </c>
      <c r="D366" s="38" t="str">
        <f>IF(ISNA(VLOOKUP(Tableau13[[#This Row],[Code]],'Code Véhicule'!$A$4:$C$185,3,0)),"",VLOOKUP(Tableau13[[#This Row],[Code]],'Code Véhicule'!$A$4:$C$185,3,0))</f>
        <v>VOLVO</v>
      </c>
      <c r="E366" s="36" t="str">
        <f>IF(ISNA(VLOOKUP(Tableau13[[#This Row],[Code]],'Code Véhicule'!$A$4:$D$185,4,0))," ",VLOOKUP(Tableau13[[#This Row],[Code]],'Code Véhicule'!$A$4:$D$185,4,0))</f>
        <v>22300-A-73</v>
      </c>
      <c r="F366" s="36">
        <v>24974</v>
      </c>
      <c r="G366" s="38" t="s">
        <v>403</v>
      </c>
      <c r="H366" s="38" t="s">
        <v>805</v>
      </c>
      <c r="I366" s="36" t="s">
        <v>304</v>
      </c>
      <c r="J366" s="36" t="s">
        <v>806</v>
      </c>
      <c r="K366" s="36">
        <v>152470</v>
      </c>
      <c r="L366" s="40">
        <v>120</v>
      </c>
      <c r="M366" s="36">
        <v>120</v>
      </c>
      <c r="N366" s="41">
        <v>44137</v>
      </c>
      <c r="O366" s="38"/>
      <c r="P366" s="38"/>
      <c r="Q366" s="176" t="e">
        <f>MONTH([1]!Tableau13[[#This Row],[Date début]])</f>
        <v>#REF!</v>
      </c>
      <c r="R366" s="180" t="e">
        <f>YEAR([1]!Tableau13[[#This Row],[Date début]])</f>
        <v>#REF!</v>
      </c>
    </row>
    <row r="367" spans="1:18">
      <c r="A367" s="35">
        <v>44137</v>
      </c>
      <c r="B367" s="36">
        <v>479</v>
      </c>
      <c r="C367" s="37" t="str">
        <f>IF(ISNA(VLOOKUP(Tableau13[[#This Row],[Code]],'Code Véhicule'!$A$4:$C$41,2,TRUE)),"",(VLOOKUP(Tableau13[[#This Row],[Code]],'Code Véhicule'!$A$4:$C$41,2,TRUE)))</f>
        <v>Bus de transport</v>
      </c>
      <c r="D367" s="38" t="str">
        <f>IF(ISNA(VLOOKUP(Tableau13[[#This Row],[Code]],'Code Véhicule'!$A$4:$C$185,3,0)),"",VLOOKUP(Tableau13[[#This Row],[Code]],'Code Véhicule'!$A$4:$C$185,3,0))</f>
        <v>Hyundai County</v>
      </c>
      <c r="E367" s="36" t="str">
        <f>IF(ISNA(VLOOKUP(Tableau13[[#This Row],[Code]],'Code Véhicule'!$A$4:$D$185,4,0))," ",VLOOKUP(Tableau13[[#This Row],[Code]],'Code Véhicule'!$A$4:$D$185,4,0))</f>
        <v>22772-A-73</v>
      </c>
      <c r="F367" s="36">
        <v>24976</v>
      </c>
      <c r="G367" s="38" t="s">
        <v>403</v>
      </c>
      <c r="H367" s="38" t="s">
        <v>805</v>
      </c>
      <c r="I367" s="36" t="s">
        <v>304</v>
      </c>
      <c r="J367" s="36" t="s">
        <v>479</v>
      </c>
      <c r="K367" s="36">
        <v>152471</v>
      </c>
      <c r="L367" s="40">
        <v>120</v>
      </c>
      <c r="M367" s="36">
        <v>120</v>
      </c>
      <c r="N367" s="41">
        <v>44137</v>
      </c>
      <c r="O367" s="38"/>
      <c r="P367" s="38"/>
      <c r="Q367" s="176" t="e">
        <f>MONTH([1]!Tableau13[[#This Row],[Date début]])</f>
        <v>#REF!</v>
      </c>
      <c r="R367" s="180" t="e">
        <f>YEAR([1]!Tableau13[[#This Row],[Date début]])</f>
        <v>#REF!</v>
      </c>
    </row>
    <row r="368" spans="1:18" ht="60" customHeight="1">
      <c r="A368" s="35">
        <v>44144</v>
      </c>
      <c r="B368" s="36">
        <v>435</v>
      </c>
      <c r="C368" s="37" t="str">
        <f>IF(ISNA(VLOOKUP(Tableau13[[#This Row],[Code]],'Code Véhicule'!$A$4:$C$41,2,TRUE)),"",(VLOOKUP(Tableau13[[#This Row],[Code]],'Code Véhicule'!$A$4:$C$41,2,TRUE)))</f>
        <v>Camion</v>
      </c>
      <c r="D368" s="38" t="str">
        <f>IF(ISNA(VLOOKUP(Tableau13[[#This Row],[Code]],'Code Véhicule'!$A$4:$C$185,3,0)),"",VLOOKUP(Tableau13[[#This Row],[Code]],'Code Véhicule'!$A$4:$C$185,3,0))</f>
        <v>Mitsubishi</v>
      </c>
      <c r="E368" s="36" t="str">
        <f>IF(ISNA(VLOOKUP(Tableau13[[#This Row],[Code]],'Code Véhicule'!$A$4:$D$185,4,0))," ",VLOOKUP(Tableau13[[#This Row],[Code]],'Code Véhicule'!$A$4:$D$185,4,0))</f>
        <v xml:space="preserve"> 11469-A-73</v>
      </c>
      <c r="F368" s="36">
        <v>24980</v>
      </c>
      <c r="G368" s="38" t="s">
        <v>393</v>
      </c>
      <c r="H368" s="38" t="s">
        <v>608</v>
      </c>
      <c r="I368" s="36" t="s">
        <v>304</v>
      </c>
      <c r="J368" s="36" t="s">
        <v>812</v>
      </c>
      <c r="K368" s="36"/>
      <c r="L368" s="40"/>
      <c r="M368" s="36" t="str">
        <f>IF(ISBLANK(Tableau13[[#This Row],[N BS]]),"",(Tableau13[[#This Row],[N BS]]-Tableau13[[#This Row],[Date début]]))</f>
        <v/>
      </c>
      <c r="N368" s="36"/>
      <c r="O368" s="38"/>
      <c r="P368" s="38"/>
      <c r="Q368" s="176" t="e">
        <f>MONTH([1]!Tableau13[[#This Row],[Date début]])</f>
        <v>#REF!</v>
      </c>
      <c r="R368" s="180" t="e">
        <f>YEAR([1]!Tableau13[[#This Row],[Date début]])</f>
        <v>#REF!</v>
      </c>
    </row>
    <row r="369" spans="1:18" ht="15.75" customHeight="1">
      <c r="A369" s="35">
        <v>44145</v>
      </c>
      <c r="B369" s="36">
        <v>414</v>
      </c>
      <c r="C369" s="37" t="str">
        <f>IF(ISNA(VLOOKUP(Tableau13[[#This Row],[Code]],'Code Véhicule'!$A$4:$C$41,2,TRUE)),"",(VLOOKUP(Tableau13[[#This Row],[Code]],'Code Véhicule'!$A$4:$C$41,2,TRUE)))</f>
        <v>Balayeuse</v>
      </c>
      <c r="D369" s="38" t="str">
        <f>IF(ISNA(VLOOKUP(Tableau13[[#This Row],[Code]],'Code Véhicule'!$A$4:$C$185,3,0)),"",VLOOKUP(Tableau13[[#This Row],[Code]],'Code Véhicule'!$A$4:$C$185,3,0))</f>
        <v>Bobcat</v>
      </c>
      <c r="E369" s="36" t="str">
        <f>IF(ISNA(VLOOKUP(Tableau13[[#This Row],[Code]],'Code Véhicule'!$A$4:$D$185,4,0))," ",VLOOKUP(Tableau13[[#This Row],[Code]],'Code Véhicule'!$A$4:$D$185,4,0))</f>
        <v>-</v>
      </c>
      <c r="F369" s="36">
        <v>24981</v>
      </c>
      <c r="G369" s="38" t="s">
        <v>813</v>
      </c>
      <c r="H369" s="38" t="s">
        <v>814</v>
      </c>
      <c r="I369" s="36" t="s">
        <v>304</v>
      </c>
      <c r="J369" s="36" t="s">
        <v>815</v>
      </c>
      <c r="K369" s="36">
        <v>152496</v>
      </c>
      <c r="L369" s="40">
        <v>570</v>
      </c>
      <c r="M369" s="36">
        <v>570</v>
      </c>
      <c r="N369" s="41">
        <v>44145</v>
      </c>
      <c r="O369" s="38"/>
      <c r="P369" s="38"/>
      <c r="Q369" s="176" t="e">
        <f>MONTH([1]!Tableau13[[#This Row],[Date début]])</f>
        <v>#REF!</v>
      </c>
      <c r="R369" s="180" t="e">
        <f>YEAR([1]!Tableau13[[#This Row],[Date début]])</f>
        <v>#REF!</v>
      </c>
    </row>
    <row r="370" spans="1:18" ht="30">
      <c r="A370" s="35">
        <v>44145</v>
      </c>
      <c r="B370" s="36">
        <v>471</v>
      </c>
      <c r="C370" s="37" t="str">
        <f>IF(ISNA(VLOOKUP(Tableau13[[#This Row],[Code]],'Code Véhicule'!$A$4:$C$41,2,TRUE)),"",(VLOOKUP(Tableau13[[#This Row],[Code]],'Code Véhicule'!$A$4:$C$41,2,TRUE)))</f>
        <v>Bus de transport</v>
      </c>
      <c r="D370" s="38" t="str">
        <f>IF(ISNA(VLOOKUP(Tableau13[[#This Row],[Code]],'Code Véhicule'!$A$4:$C$185,3,0)),"",VLOOKUP(Tableau13[[#This Row],[Code]],'Code Véhicule'!$A$4:$C$185,3,0))</f>
        <v xml:space="preserve">Hyundai County </v>
      </c>
      <c r="E370" s="36" t="str">
        <f>IF(ISNA(VLOOKUP(Tableau13[[#This Row],[Code]],'Code Véhicule'!$A$4:$D$185,4,0))," ",VLOOKUP(Tableau13[[#This Row],[Code]],'Code Véhicule'!$A$4:$D$185,4,0))</f>
        <v>18516-A-73</v>
      </c>
      <c r="F370" s="36">
        <v>24982</v>
      </c>
      <c r="G370" s="38" t="s">
        <v>511</v>
      </c>
      <c r="H370" s="38" t="s">
        <v>672</v>
      </c>
      <c r="I370" s="36" t="s">
        <v>304</v>
      </c>
      <c r="J370" s="36" t="s">
        <v>816</v>
      </c>
      <c r="K370" s="36">
        <v>156153</v>
      </c>
      <c r="L370" s="40">
        <v>120</v>
      </c>
      <c r="M370" s="36">
        <v>120</v>
      </c>
      <c r="N370" s="41">
        <v>44145</v>
      </c>
      <c r="O370" s="38"/>
      <c r="P370" s="38"/>
      <c r="Q370" s="176" t="e">
        <f>MONTH([1]!Tableau13[[#This Row],[Date début]])</f>
        <v>#REF!</v>
      </c>
      <c r="R370" s="180" t="e">
        <f>YEAR([1]!Tableau13[[#This Row],[Date début]])</f>
        <v>#REF!</v>
      </c>
    </row>
    <row r="371" spans="1:18" ht="60" customHeight="1">
      <c r="A371" s="35">
        <v>44145</v>
      </c>
      <c r="B371" s="36">
        <v>430</v>
      </c>
      <c r="C371" s="37" t="str">
        <f>IF(ISNA(VLOOKUP(Tableau13[[#This Row],[Code]],'Code Véhicule'!$A$4:$C$41,2,TRUE)),"",(VLOOKUP(Tableau13[[#This Row],[Code]],'Code Véhicule'!$A$4:$C$41,2,TRUE)))</f>
        <v>Chariot elevateur</v>
      </c>
      <c r="D371" s="38" t="str">
        <f>IF(ISNA(VLOOKUP(Tableau13[[#This Row],[Code]],'Code Véhicule'!$A$4:$C$185,3,0)),"",VLOOKUP(Tableau13[[#This Row],[Code]],'Code Véhicule'!$A$4:$C$185,3,0))</f>
        <v>Fenwick  H40</v>
      </c>
      <c r="E371" s="36" t="str">
        <f>IF(ISNA(VLOOKUP(Tableau13[[#This Row],[Code]],'Code Véhicule'!$A$4:$D$185,4,0))," ",VLOOKUP(Tableau13[[#This Row],[Code]],'Code Véhicule'!$A$4:$D$185,4,0))</f>
        <v>-</v>
      </c>
      <c r="F371" s="36">
        <v>24983</v>
      </c>
      <c r="G371" s="38" t="s">
        <v>393</v>
      </c>
      <c r="H371" s="38" t="s">
        <v>608</v>
      </c>
      <c r="I371" s="36" t="s">
        <v>304</v>
      </c>
      <c r="J371" s="36" t="s">
        <v>817</v>
      </c>
      <c r="K371" s="36"/>
      <c r="L371" s="40"/>
      <c r="M371" s="36" t="str">
        <f>IF(ISBLANK(Tableau13[[#This Row],[N BS]]),"",(Tableau13[[#This Row],[N BS]]-Tableau13[[#This Row],[Date début]]))</f>
        <v/>
      </c>
      <c r="N371" s="36"/>
      <c r="O371" s="38"/>
      <c r="P371" s="38"/>
      <c r="Q371" s="176" t="e">
        <f>MONTH([1]!Tableau13[[#This Row],[Date début]])</f>
        <v>#REF!</v>
      </c>
      <c r="R371" s="180" t="e">
        <f>YEAR([1]!Tableau13[[#This Row],[Date début]])</f>
        <v>#REF!</v>
      </c>
    </row>
    <row r="372" spans="1:18" ht="15.75" customHeight="1">
      <c r="A372" s="35">
        <v>44145</v>
      </c>
      <c r="B372" s="36">
        <v>481</v>
      </c>
      <c r="C372" s="37" t="str">
        <f>IF(ISNA(VLOOKUP(Tableau13[[#This Row],[Code]],'Code Véhicule'!$A$4:$C$41,2,TRUE)),"",(VLOOKUP(Tableau13[[#This Row],[Code]],'Code Véhicule'!$A$4:$C$41,2,TRUE)))</f>
        <v>Camion</v>
      </c>
      <c r="D372" s="38" t="str">
        <f>IF(ISNA(VLOOKUP(Tableau13[[#This Row],[Code]],'Code Véhicule'!$A$4:$C$185,3,0)),"",VLOOKUP(Tableau13[[#This Row],[Code]],'Code Véhicule'!$A$4:$C$185,3,0))</f>
        <v>VOLVO</v>
      </c>
      <c r="E372" s="36" t="str">
        <f>IF(ISNA(VLOOKUP(Tableau13[[#This Row],[Code]],'Code Véhicule'!$A$4:$D$185,4,0))," ",VLOOKUP(Tableau13[[#This Row],[Code]],'Code Véhicule'!$A$4:$D$185,4,0))</f>
        <v>22300-A-73</v>
      </c>
      <c r="F372" s="36">
        <v>24984</v>
      </c>
      <c r="G372" s="38" t="s">
        <v>560</v>
      </c>
      <c r="H372" s="38" t="s">
        <v>604</v>
      </c>
      <c r="I372" s="36" t="s">
        <v>304</v>
      </c>
      <c r="J372" s="36" t="s">
        <v>372</v>
      </c>
      <c r="K372" s="36">
        <v>154155</v>
      </c>
      <c r="L372" s="40">
        <v>120</v>
      </c>
      <c r="M372" s="36">
        <v>120</v>
      </c>
      <c r="N372" s="41">
        <v>44145</v>
      </c>
      <c r="O372" s="38"/>
      <c r="P372" s="38"/>
      <c r="Q372" s="176" t="e">
        <f>MONTH([1]!Tableau13[[#This Row],[Date début]])</f>
        <v>#REF!</v>
      </c>
      <c r="R372" s="180" t="e">
        <f>YEAR([1]!Tableau13[[#This Row],[Date début]])</f>
        <v>#REF!</v>
      </c>
    </row>
    <row r="373" spans="1:18" ht="45" customHeight="1">
      <c r="A373" s="35">
        <v>44145</v>
      </c>
      <c r="B373" s="36">
        <v>436</v>
      </c>
      <c r="C373" s="37" t="str">
        <f>IF(ISNA(VLOOKUP(Tableau13[[#This Row],[Code]],'Code Véhicule'!$A$4:$C$41,2,TRUE)),"",(VLOOKUP(Tableau13[[#This Row],[Code]],'Code Véhicule'!$A$4:$C$41,2,TRUE)))</f>
        <v>Camion</v>
      </c>
      <c r="D373" s="38" t="str">
        <f>IF(ISNA(VLOOKUP(Tableau13[[#This Row],[Code]],'Code Véhicule'!$A$4:$C$185,3,0)),"",VLOOKUP(Tableau13[[#This Row],[Code]],'Code Véhicule'!$A$4:$C$185,3,0))</f>
        <v>Mitsubishi</v>
      </c>
      <c r="E373" s="36" t="str">
        <f>IF(ISNA(VLOOKUP(Tableau13[[#This Row],[Code]],'Code Véhicule'!$A$4:$D$185,4,0))," ",VLOOKUP(Tableau13[[#This Row],[Code]],'Code Véhicule'!$A$4:$D$185,4,0))</f>
        <v>11470-A-73</v>
      </c>
      <c r="F373" s="36">
        <v>24985</v>
      </c>
      <c r="G373" s="38" t="s">
        <v>393</v>
      </c>
      <c r="H373" s="38" t="s">
        <v>608</v>
      </c>
      <c r="I373" s="36" t="s">
        <v>302</v>
      </c>
      <c r="J373" s="36" t="s">
        <v>818</v>
      </c>
      <c r="K373" s="36">
        <v>154156</v>
      </c>
      <c r="L373" s="40">
        <v>120</v>
      </c>
      <c r="M373" s="36">
        <v>120</v>
      </c>
      <c r="N373" s="41">
        <v>44145</v>
      </c>
      <c r="O373" s="38"/>
      <c r="P373" s="38"/>
      <c r="Q373" s="176" t="e">
        <f>MONTH([1]!Tableau13[[#This Row],[Date début]])</f>
        <v>#REF!</v>
      </c>
      <c r="R373" s="180" t="e">
        <f>YEAR([1]!Tableau13[[#This Row],[Date début]])</f>
        <v>#REF!</v>
      </c>
    </row>
    <row r="374" spans="1:18" ht="45" customHeight="1">
      <c r="A374" s="35">
        <v>44145</v>
      </c>
      <c r="B374" s="36">
        <v>429</v>
      </c>
      <c r="C374" s="37" t="str">
        <f>IF(ISNA(VLOOKUP(Tableau13[[#This Row],[Code]],'Code Véhicule'!$A$4:$C$41,2,TRUE)),"",(VLOOKUP(Tableau13[[#This Row],[Code]],'Code Véhicule'!$A$4:$C$41,2,TRUE)))</f>
        <v>Chariot elevateur</v>
      </c>
      <c r="D374" s="38" t="str">
        <f>IF(ISNA(VLOOKUP(Tableau13[[#This Row],[Code]],'Code Véhicule'!$A$4:$C$185,3,0)),"",VLOOKUP(Tableau13[[#This Row],[Code]],'Code Véhicule'!$A$4:$C$185,3,0))</f>
        <v>Fenwick HD30</v>
      </c>
      <c r="E374" s="36" t="str">
        <f>IF(ISNA(VLOOKUP(Tableau13[[#This Row],[Code]],'Code Véhicule'!$A$4:$D$185,4,0))," ",VLOOKUP(Tableau13[[#This Row],[Code]],'Code Véhicule'!$A$4:$D$185,4,0))</f>
        <v>-</v>
      </c>
      <c r="F374" s="36">
        <v>24986</v>
      </c>
      <c r="G374" s="38" t="s">
        <v>393</v>
      </c>
      <c r="H374" s="38" t="s">
        <v>608</v>
      </c>
      <c r="I374" s="36" t="s">
        <v>304</v>
      </c>
      <c r="J374" s="36" t="s">
        <v>863</v>
      </c>
      <c r="K374" s="36">
        <v>154157</v>
      </c>
      <c r="L374" s="40"/>
      <c r="M374" s="36">
        <f>IF(ISBLANK(Tableau13[[#This Row],[N BS]]),"",(Tableau13[[#This Row],[N BS]]-Tableau13[[#This Row],[Date début]]))</f>
        <v>110012</v>
      </c>
      <c r="N374" s="36"/>
      <c r="O374" s="38"/>
      <c r="P374" s="38"/>
      <c r="Q374" s="176" t="e">
        <f>MONTH([1]!Tableau13[[#This Row],[Date début]])</f>
        <v>#REF!</v>
      </c>
      <c r="R374" s="180" t="e">
        <f>YEAR([1]!Tableau13[[#This Row],[Date début]])</f>
        <v>#REF!</v>
      </c>
    </row>
    <row r="375" spans="1:18" ht="30" customHeight="1">
      <c r="A375" s="35">
        <v>44146</v>
      </c>
      <c r="B375" s="36">
        <v>401</v>
      </c>
      <c r="C375" s="37" t="str">
        <f>IF(ISNA(VLOOKUP(Tableau13[[#This Row],[Code]],'Code Véhicule'!$A$4:$C$41,2,TRUE)),"",(VLOOKUP(Tableau13[[#This Row],[Code]],'Code Véhicule'!$A$4:$C$41,2,TRUE)))</f>
        <v>Camion</v>
      </c>
      <c r="D375" s="38" t="str">
        <f>IF(ISNA(VLOOKUP(Tableau13[[#This Row],[Code]],'Code Véhicule'!$A$4:$C$185,3,0)),"",VLOOKUP(Tableau13[[#This Row],[Code]],'Code Véhicule'!$A$4:$C$185,3,0))</f>
        <v>ISUZU</v>
      </c>
      <c r="E375" s="36" t="str">
        <f>IF(ISNA(VLOOKUP(Tableau13[[#This Row],[Code]],'Code Véhicule'!$A$4:$D$185,4,0))," ",VLOOKUP(Tableau13[[#This Row],[Code]],'Code Véhicule'!$A$4:$D$185,4,0))</f>
        <v>26128-A-8</v>
      </c>
      <c r="F375" s="36">
        <v>24988</v>
      </c>
      <c r="G375" s="38" t="s">
        <v>511</v>
      </c>
      <c r="H375" s="38" t="s">
        <v>672</v>
      </c>
      <c r="I375" s="36" t="s">
        <v>304</v>
      </c>
      <c r="J375" s="36" t="s">
        <v>820</v>
      </c>
      <c r="K375" s="36">
        <v>154159</v>
      </c>
      <c r="L375" s="40">
        <v>120</v>
      </c>
      <c r="M375" s="36">
        <v>120</v>
      </c>
      <c r="N375" s="41">
        <v>44146</v>
      </c>
      <c r="O375" s="38"/>
      <c r="P375" s="38"/>
      <c r="Q375" s="176" t="e">
        <f>MONTH([1]!Tableau13[[#This Row],[Date début]])</f>
        <v>#REF!</v>
      </c>
      <c r="R375" s="180" t="e">
        <f>YEAR([1]!Tableau13[[#This Row],[Date début]])</f>
        <v>#REF!</v>
      </c>
    </row>
    <row r="376" spans="1:18" ht="15.75" customHeight="1">
      <c r="A376" s="35">
        <v>44146</v>
      </c>
      <c r="B376" s="36">
        <v>481</v>
      </c>
      <c r="C376" s="37" t="str">
        <f>IF(ISNA(VLOOKUP(Tableau13[[#This Row],[Code]],'Code Véhicule'!$A$4:$C$41,2,TRUE)),"",(VLOOKUP(Tableau13[[#This Row],[Code]],'Code Véhicule'!$A$4:$C$41,2,TRUE)))</f>
        <v>Camion</v>
      </c>
      <c r="D376" s="38" t="str">
        <f>IF(ISNA(VLOOKUP(Tableau13[[#This Row],[Code]],'Code Véhicule'!$A$4:$C$185,3,0)),"",VLOOKUP(Tableau13[[#This Row],[Code]],'Code Véhicule'!$A$4:$C$185,3,0))</f>
        <v>VOLVO</v>
      </c>
      <c r="E376" s="36" t="str">
        <f>IF(ISNA(VLOOKUP(Tableau13[[#This Row],[Code]],'Code Véhicule'!$A$4:$D$185,4,0))," ",VLOOKUP(Tableau13[[#This Row],[Code]],'Code Véhicule'!$A$4:$D$185,4,0))</f>
        <v>22300-A-73</v>
      </c>
      <c r="F376" s="36">
        <v>24990</v>
      </c>
      <c r="G376" s="38" t="s">
        <v>560</v>
      </c>
      <c r="H376" s="38" t="s">
        <v>604</v>
      </c>
      <c r="I376" s="36" t="s">
        <v>304</v>
      </c>
      <c r="J376" s="36" t="s">
        <v>372</v>
      </c>
      <c r="K376" s="36">
        <v>154161</v>
      </c>
      <c r="L376" s="40"/>
      <c r="M376" s="36">
        <f>IF(ISBLANK(Tableau13[[#This Row],[N BS]]),"",(Tableau13[[#This Row],[N BS]]-Tableau13[[#This Row],[Date début]]))</f>
        <v>110015</v>
      </c>
      <c r="N376" s="36"/>
      <c r="O376" s="38"/>
      <c r="P376" s="38"/>
      <c r="Q376" s="176" t="e">
        <f>MONTH([1]!Tableau13[[#This Row],[Date début]])</f>
        <v>#REF!</v>
      </c>
      <c r="R376" s="180" t="e">
        <f>YEAR([1]!Tableau13[[#This Row],[Date début]])</f>
        <v>#REF!</v>
      </c>
    </row>
    <row r="377" spans="1:18" ht="45" customHeight="1">
      <c r="A377" s="35">
        <v>44146</v>
      </c>
      <c r="B377" s="36">
        <v>410</v>
      </c>
      <c r="C377" s="37" t="str">
        <f>IF(ISNA(VLOOKUP(Tableau13[[#This Row],[Code]],'Code Véhicule'!$A$4:$C$41,2,TRUE)),"",(VLOOKUP(Tableau13[[#This Row],[Code]],'Code Véhicule'!$A$4:$C$41,2,TRUE)))</f>
        <v>Semi remorque</v>
      </c>
      <c r="D377" s="38" t="str">
        <f>IF(ISNA(VLOOKUP(Tableau13[[#This Row],[Code]],'Code Véhicule'!$A$4:$C$185,3,0)),"",VLOOKUP(Tableau13[[#This Row],[Code]],'Code Véhicule'!$A$4:$C$185,3,0))</f>
        <v>MAN</v>
      </c>
      <c r="E377" s="36" t="str">
        <f>IF(ISNA(VLOOKUP(Tableau13[[#This Row],[Code]],'Code Véhicule'!$A$4:$D$185,4,0))," ",VLOOKUP(Tableau13[[#This Row],[Code]],'Code Véhicule'!$A$4:$D$185,4,0))</f>
        <v xml:space="preserve">28659-D-1 </v>
      </c>
      <c r="F377" s="36">
        <v>24991</v>
      </c>
      <c r="G377" s="38" t="s">
        <v>393</v>
      </c>
      <c r="H377" s="38" t="s">
        <v>608</v>
      </c>
      <c r="I377" s="36" t="s">
        <v>304</v>
      </c>
      <c r="J377" s="36" t="s">
        <v>821</v>
      </c>
      <c r="K377" s="36">
        <v>154162</v>
      </c>
      <c r="L377" s="40">
        <v>180</v>
      </c>
      <c r="M377" s="36">
        <v>180</v>
      </c>
      <c r="N377" s="41">
        <v>44146</v>
      </c>
      <c r="O377" s="38"/>
      <c r="P377" s="38"/>
      <c r="Q377" s="176" t="e">
        <f>MONTH([1]!Tableau13[[#This Row],[Date début]])</f>
        <v>#REF!</v>
      </c>
      <c r="R377" s="180" t="e">
        <f>YEAR([1]!Tableau13[[#This Row],[Date début]])</f>
        <v>#REF!</v>
      </c>
    </row>
    <row r="378" spans="1:18" ht="45" customHeight="1">
      <c r="A378" s="35">
        <v>44147</v>
      </c>
      <c r="B378" s="36">
        <v>439</v>
      </c>
      <c r="C378" s="37" t="str">
        <f>IF(ISNA(VLOOKUP(Tableau13[[#This Row],[Code]],'Code Véhicule'!$A$4:$C$41,2,TRUE)),"",(VLOOKUP(Tableau13[[#This Row],[Code]],'Code Véhicule'!$A$4:$C$41,2,TRUE)))</f>
        <v>Semi remorque</v>
      </c>
      <c r="D378" s="38" t="str">
        <f>IF(ISNA(VLOOKUP(Tableau13[[#This Row],[Code]],'Code Véhicule'!$A$4:$C$185,3,0)),"",VLOOKUP(Tableau13[[#This Row],[Code]],'Code Véhicule'!$A$4:$C$185,3,0))</f>
        <v>VOLVO</v>
      </c>
      <c r="E378" s="36" t="str">
        <f>IF(ISNA(VLOOKUP(Tableau13[[#This Row],[Code]],'Code Véhicule'!$A$4:$D$185,4,0))," ",VLOOKUP(Tableau13[[#This Row],[Code]],'Code Véhicule'!$A$4:$D$185,4,0))</f>
        <v xml:space="preserve">17886-A-73 </v>
      </c>
      <c r="F378" s="36">
        <v>24979</v>
      </c>
      <c r="G378" s="38" t="s">
        <v>397</v>
      </c>
      <c r="H378" s="38" t="s">
        <v>809</v>
      </c>
      <c r="I378" s="36" t="s">
        <v>304</v>
      </c>
      <c r="J378" s="36" t="s">
        <v>810</v>
      </c>
      <c r="K378" s="36" t="s">
        <v>811</v>
      </c>
      <c r="L378" s="40">
        <v>570</v>
      </c>
      <c r="M378" s="36">
        <v>570</v>
      </c>
      <c r="N378" s="41">
        <v>44147</v>
      </c>
      <c r="O378" s="38"/>
      <c r="P378" s="38"/>
      <c r="Q378" s="176" t="e">
        <f>MONTH([1]!Tableau13[[#This Row],[Date début]])</f>
        <v>#REF!</v>
      </c>
      <c r="R378" s="180" t="e">
        <f>YEAR([1]!Tableau13[[#This Row],[Date début]])</f>
        <v>#REF!</v>
      </c>
    </row>
    <row r="379" spans="1:18">
      <c r="A379" s="35">
        <v>44147</v>
      </c>
      <c r="B379" s="36">
        <v>479</v>
      </c>
      <c r="C379" s="37" t="str">
        <f>IF(ISNA(VLOOKUP(Tableau13[[#This Row],[Code]],'Code Véhicule'!$A$4:$C$41,2,TRUE)),"",(VLOOKUP(Tableau13[[#This Row],[Code]],'Code Véhicule'!$A$4:$C$41,2,TRUE)))</f>
        <v>Bus de transport</v>
      </c>
      <c r="D379" s="38" t="str">
        <f>IF(ISNA(VLOOKUP(Tableau13[[#This Row],[Code]],'Code Véhicule'!$A$4:$C$185,3,0)),"",VLOOKUP(Tableau13[[#This Row],[Code]],'Code Véhicule'!$A$4:$C$185,3,0))</f>
        <v>Hyundai County</v>
      </c>
      <c r="E379" s="36" t="str">
        <f>IF(ISNA(VLOOKUP(Tableau13[[#This Row],[Code]],'Code Véhicule'!$A$4:$D$185,4,0))," ",VLOOKUP(Tableau13[[#This Row],[Code]],'Code Véhicule'!$A$4:$D$185,4,0))</f>
        <v>22772-A-73</v>
      </c>
      <c r="F379" s="36">
        <v>24993</v>
      </c>
      <c r="G379" s="38" t="s">
        <v>353</v>
      </c>
      <c r="H379" s="38" t="s">
        <v>729</v>
      </c>
      <c r="I379" s="36" t="s">
        <v>304</v>
      </c>
      <c r="J379" s="36" t="s">
        <v>822</v>
      </c>
      <c r="K379" s="36">
        <v>154166</v>
      </c>
      <c r="L379" s="40">
        <v>570</v>
      </c>
      <c r="M379" s="36">
        <v>570</v>
      </c>
      <c r="N379" s="41">
        <v>44147</v>
      </c>
      <c r="O379" s="38"/>
      <c r="P379" s="38"/>
      <c r="Q379" s="176" t="e">
        <f>MONTH([1]!Tableau13[[#This Row],[Date début]])</f>
        <v>#REF!</v>
      </c>
      <c r="R379" s="180" t="e">
        <f>YEAR([1]!Tableau13[[#This Row],[Date début]])</f>
        <v>#REF!</v>
      </c>
    </row>
    <row r="380" spans="1:18" ht="30" customHeight="1">
      <c r="A380" s="35">
        <v>44147</v>
      </c>
      <c r="B380" s="36"/>
      <c r="C380" s="37" t="str">
        <f>IF(ISNA(VLOOKUP(Tableau13[[#This Row],[Code]],'Code Véhicule'!$A$4:$C$41,2,TRUE)),"",(VLOOKUP(Tableau13[[#This Row],[Code]],'Code Véhicule'!$A$4:$C$41,2,TRUE)))</f>
        <v/>
      </c>
      <c r="D380" s="38" t="str">
        <f>IF(ISNA(VLOOKUP(Tableau13[[#This Row],[Code]],'Code Véhicule'!$A$4:$C$185,3,0)),"",VLOOKUP(Tableau13[[#This Row],[Code]],'Code Véhicule'!$A$4:$C$185,3,0))</f>
        <v/>
      </c>
      <c r="E380" s="36" t="str">
        <f>IF(ISNA(VLOOKUP(Tableau13[[#This Row],[Code]],'Code Véhicule'!$A$4:$D$185,4,0))," ",VLOOKUP(Tableau13[[#This Row],[Code]],'Code Véhicule'!$A$4:$D$185,4,0))</f>
        <v xml:space="preserve"> </v>
      </c>
      <c r="F380" s="36">
        <v>24994</v>
      </c>
      <c r="G380" s="38" t="s">
        <v>353</v>
      </c>
      <c r="H380" s="38" t="s">
        <v>729</v>
      </c>
      <c r="I380" s="36" t="s">
        <v>304</v>
      </c>
      <c r="J380" s="36" t="s">
        <v>823</v>
      </c>
      <c r="K380" s="36">
        <v>154167</v>
      </c>
      <c r="L380" s="40">
        <v>570</v>
      </c>
      <c r="M380" s="36">
        <v>570</v>
      </c>
      <c r="N380" s="41">
        <v>44147</v>
      </c>
      <c r="O380" s="38"/>
      <c r="P380" s="38"/>
      <c r="Q380" s="176" t="e">
        <f>MONTH([1]!Tableau13[[#This Row],[Date début]])</f>
        <v>#REF!</v>
      </c>
      <c r="R380" s="180" t="e">
        <f>YEAR([1]!Tableau13[[#This Row],[Date début]])</f>
        <v>#REF!</v>
      </c>
    </row>
    <row r="381" spans="1:18" ht="30" customHeight="1">
      <c r="A381" s="35">
        <v>44148</v>
      </c>
      <c r="B381" s="36">
        <v>413</v>
      </c>
      <c r="C381" s="37" t="str">
        <f>IF(ISNA(VLOOKUP(Tableau13[[#This Row],[Code]],'Code Véhicule'!$A$4:$C$41,2,TRUE)),"",(VLOOKUP(Tableau13[[#This Row],[Code]],'Code Véhicule'!$A$4:$C$41,2,TRUE)))</f>
        <v>Chargeur</v>
      </c>
      <c r="D381" s="38" t="str">
        <f>IF(ISNA(VLOOKUP(Tableau13[[#This Row],[Code]],'Code Véhicule'!$A$4:$C$185,3,0)),"",VLOOKUP(Tableau13[[#This Row],[Code]],'Code Véhicule'!$A$4:$C$185,3,0))</f>
        <v>Caterpillar</v>
      </c>
      <c r="E381" s="36" t="str">
        <f>IF(ISNA(VLOOKUP(Tableau13[[#This Row],[Code]],'Code Véhicule'!$A$4:$D$185,4,0))," ",VLOOKUP(Tableau13[[#This Row],[Code]],'Code Véhicule'!$A$4:$D$185,4,0))</f>
        <v>-</v>
      </c>
      <c r="F381" s="36">
        <v>24995</v>
      </c>
      <c r="G381" s="38" t="s">
        <v>393</v>
      </c>
      <c r="H381" s="38" t="s">
        <v>613</v>
      </c>
      <c r="I381" s="36" t="s">
        <v>304</v>
      </c>
      <c r="J381" s="36" t="s">
        <v>824</v>
      </c>
      <c r="K381" s="36">
        <v>154172</v>
      </c>
      <c r="L381" s="40">
        <v>120</v>
      </c>
      <c r="M381" s="36">
        <v>120</v>
      </c>
      <c r="N381" s="41">
        <v>44147</v>
      </c>
      <c r="O381" s="38"/>
      <c r="P381" s="38"/>
      <c r="Q381" s="176" t="e">
        <f>MONTH([1]!Tableau13[[#This Row],[Date début]])</f>
        <v>#REF!</v>
      </c>
      <c r="R381" s="180" t="e">
        <f>YEAR([1]!Tableau13[[#This Row],[Date début]])</f>
        <v>#REF!</v>
      </c>
    </row>
    <row r="382" spans="1:18" ht="45" customHeight="1">
      <c r="A382" s="35">
        <v>44149</v>
      </c>
      <c r="B382" s="36">
        <v>426</v>
      </c>
      <c r="C382" s="37" t="str">
        <f>IF(ISNA(VLOOKUP(Tableau13[[#This Row],[Code]],'Code Véhicule'!$A$4:$C$41,2,TRUE)),"",(VLOOKUP(Tableau13[[#This Row],[Code]],'Code Véhicule'!$A$4:$C$41,2,TRUE)))</f>
        <v>Chariot elevateur</v>
      </c>
      <c r="D382" s="38" t="str">
        <f>IF(ISNA(VLOOKUP(Tableau13[[#This Row],[Code]],'Code Véhicule'!$A$4:$C$185,3,0)),"",VLOOKUP(Tableau13[[#This Row],[Code]],'Code Véhicule'!$A$4:$C$185,3,0))</f>
        <v>Manitou MC 30</v>
      </c>
      <c r="E382" s="36" t="str">
        <f>IF(ISNA(VLOOKUP(Tableau13[[#This Row],[Code]],'Code Véhicule'!$A$4:$D$185,4,0))," ",VLOOKUP(Tableau13[[#This Row],[Code]],'Code Véhicule'!$A$4:$D$185,4,0))</f>
        <v>-</v>
      </c>
      <c r="F382" s="36">
        <v>23512</v>
      </c>
      <c r="G382" s="38" t="s">
        <v>353</v>
      </c>
      <c r="H382" s="38" t="s">
        <v>837</v>
      </c>
      <c r="I382" s="36" t="s">
        <v>304</v>
      </c>
      <c r="J382" s="36" t="s">
        <v>838</v>
      </c>
      <c r="K382" s="36">
        <v>154563</v>
      </c>
      <c r="L382" s="40">
        <v>180</v>
      </c>
      <c r="M382" s="36">
        <v>5700</v>
      </c>
      <c r="N382" s="41">
        <v>44159</v>
      </c>
      <c r="O382" s="38"/>
      <c r="P382" s="38"/>
      <c r="Q382" s="176" t="e">
        <f>MONTH([1]!Tableau13[[#This Row],[Date début]])</f>
        <v>#REF!</v>
      </c>
      <c r="R382" s="180" t="e">
        <f>YEAR([1]!Tableau13[[#This Row],[Date début]])</f>
        <v>#REF!</v>
      </c>
    </row>
    <row r="383" spans="1:18" ht="90" customHeight="1">
      <c r="A383" s="35">
        <v>44150</v>
      </c>
      <c r="B383" s="36">
        <v>430</v>
      </c>
      <c r="C383" s="37" t="str">
        <f>IF(ISNA(VLOOKUP(Tableau13[[#This Row],[Code]],'Code Véhicule'!$A$4:$C$41,2,TRUE)),"",(VLOOKUP(Tableau13[[#This Row],[Code]],'Code Véhicule'!$A$4:$C$41,2,TRUE)))</f>
        <v>Chariot elevateur</v>
      </c>
      <c r="D383" s="38" t="str">
        <f>IF(ISNA(VLOOKUP(Tableau13[[#This Row],[Code]],'Code Véhicule'!$A$4:$C$185,3,0)),"",VLOOKUP(Tableau13[[#This Row],[Code]],'Code Véhicule'!$A$4:$C$185,3,0))</f>
        <v>Fenwick  H40</v>
      </c>
      <c r="E383" s="36" t="str">
        <f>IF(ISNA(VLOOKUP(Tableau13[[#This Row],[Code]],'Code Véhicule'!$A$4:$D$185,4,0))," ",VLOOKUP(Tableau13[[#This Row],[Code]],'Code Véhicule'!$A$4:$D$185,4,0))</f>
        <v>-</v>
      </c>
      <c r="F383" s="36">
        <v>24998</v>
      </c>
      <c r="G383" s="38" t="s">
        <v>493</v>
      </c>
      <c r="H383" s="38" t="s">
        <v>826</v>
      </c>
      <c r="I383" s="36" t="s">
        <v>304</v>
      </c>
      <c r="J383" s="36" t="s">
        <v>862</v>
      </c>
      <c r="K383" s="36" t="s">
        <v>827</v>
      </c>
      <c r="L383" s="40">
        <v>3990</v>
      </c>
      <c r="M383" s="36">
        <v>5310</v>
      </c>
      <c r="N383" s="41">
        <v>44158</v>
      </c>
      <c r="O383" s="38"/>
      <c r="P383" s="38"/>
      <c r="Q383" s="176" t="e">
        <f>MONTH([1]!Tableau13[[#This Row],[Date début]])</f>
        <v>#REF!</v>
      </c>
      <c r="R383" s="180" t="e">
        <f>YEAR([1]!Tableau13[[#This Row],[Date début]])</f>
        <v>#REF!</v>
      </c>
    </row>
    <row r="384" spans="1:18">
      <c r="A384" s="35">
        <v>44151</v>
      </c>
      <c r="B384" s="36">
        <v>471</v>
      </c>
      <c r="C384" s="37" t="str">
        <f>IF(ISNA(VLOOKUP(Tableau13[[#This Row],[Code]],'Code Véhicule'!$A$4:$C$41,2,TRUE)),"",(VLOOKUP(Tableau13[[#This Row],[Code]],'Code Véhicule'!$A$4:$C$41,2,TRUE)))</f>
        <v>Bus de transport</v>
      </c>
      <c r="D384" s="38" t="str">
        <f>IF(ISNA(VLOOKUP(Tableau13[[#This Row],[Code]],'Code Véhicule'!$A$4:$C$185,3,0)),"",VLOOKUP(Tableau13[[#This Row],[Code]],'Code Véhicule'!$A$4:$C$185,3,0))</f>
        <v xml:space="preserve">Hyundai County </v>
      </c>
      <c r="E384" s="36" t="str">
        <f>IF(ISNA(VLOOKUP(Tableau13[[#This Row],[Code]],'Code Véhicule'!$A$4:$D$185,4,0))," ",VLOOKUP(Tableau13[[#This Row],[Code]],'Code Véhicule'!$A$4:$D$185,4,0))</f>
        <v>18516-A-73</v>
      </c>
      <c r="F384" s="36">
        <v>24996</v>
      </c>
      <c r="G384" s="38" t="s">
        <v>560</v>
      </c>
      <c r="H384" s="38" t="s">
        <v>604</v>
      </c>
      <c r="I384" s="36" t="s">
        <v>304</v>
      </c>
      <c r="J384" s="36" t="s">
        <v>825</v>
      </c>
      <c r="K384" s="36">
        <v>154176</v>
      </c>
      <c r="L384" s="40">
        <v>180</v>
      </c>
      <c r="M384" s="36">
        <v>180</v>
      </c>
      <c r="N384" s="41">
        <v>44151</v>
      </c>
      <c r="O384" s="38"/>
      <c r="P384" s="38"/>
      <c r="Q384" s="176" t="e">
        <f>MONTH([1]!Tableau13[[#This Row],[Date début]])</f>
        <v>#REF!</v>
      </c>
      <c r="R384" s="180" t="e">
        <f>YEAR([1]!Tableau13[[#This Row],[Date début]])</f>
        <v>#REF!</v>
      </c>
    </row>
    <row r="385" spans="1:18" ht="15.75" customHeight="1">
      <c r="A385" s="35">
        <v>44151</v>
      </c>
      <c r="B385" s="36">
        <v>413</v>
      </c>
      <c r="C385" s="37" t="str">
        <f>IF(ISNA(VLOOKUP(Tableau13[[#This Row],[Code]],'Code Véhicule'!$A$4:$C$41,2,TRUE)),"",(VLOOKUP(Tableau13[[#This Row],[Code]],'Code Véhicule'!$A$4:$C$41,2,TRUE)))</f>
        <v>Chargeur</v>
      </c>
      <c r="D385" s="38" t="str">
        <f>IF(ISNA(VLOOKUP(Tableau13[[#This Row],[Code]],'Code Véhicule'!$A$4:$C$185,3,0)),"",VLOOKUP(Tableau13[[#This Row],[Code]],'Code Véhicule'!$A$4:$C$185,3,0))</f>
        <v>Caterpillar</v>
      </c>
      <c r="E385" s="36" t="str">
        <f>IF(ISNA(VLOOKUP(Tableau13[[#This Row],[Code]],'Code Véhicule'!$A$4:$D$185,4,0))," ",VLOOKUP(Tableau13[[#This Row],[Code]],'Code Véhicule'!$A$4:$D$185,4,0))</f>
        <v>-</v>
      </c>
      <c r="F385" s="36">
        <v>24997</v>
      </c>
      <c r="G385" s="38" t="s">
        <v>560</v>
      </c>
      <c r="H385" s="38" t="s">
        <v>604</v>
      </c>
      <c r="I385" s="36" t="s">
        <v>304</v>
      </c>
      <c r="J385" s="36" t="s">
        <v>372</v>
      </c>
      <c r="K385" s="36">
        <v>154177</v>
      </c>
      <c r="L385" s="40">
        <v>120</v>
      </c>
      <c r="M385" s="36">
        <v>120</v>
      </c>
      <c r="N385" s="41">
        <v>44151</v>
      </c>
      <c r="O385" s="38"/>
      <c r="P385" s="38"/>
      <c r="Q385" s="176" t="e">
        <f>MONTH([1]!Tableau13[[#This Row],[Date début]])</f>
        <v>#REF!</v>
      </c>
      <c r="R385" s="180" t="e">
        <f>YEAR([1]!Tableau13[[#This Row],[Date début]])</f>
        <v>#REF!</v>
      </c>
    </row>
    <row r="386" spans="1:18" ht="30" customHeight="1">
      <c r="A386" s="35">
        <v>44152</v>
      </c>
      <c r="B386" s="36">
        <v>435</v>
      </c>
      <c r="C386" s="37" t="str">
        <f>IF(ISNA(VLOOKUP(Tableau13[[#This Row],[Code]],'Code Véhicule'!$A$4:$C$41,2,TRUE)),"",(VLOOKUP(Tableau13[[#This Row],[Code]],'Code Véhicule'!$A$4:$C$41,2,TRUE)))</f>
        <v>Camion</v>
      </c>
      <c r="D386" s="38" t="str">
        <f>IF(ISNA(VLOOKUP(Tableau13[[#This Row],[Code]],'Code Véhicule'!$A$4:$C$185,3,0)),"",VLOOKUP(Tableau13[[#This Row],[Code]],'Code Véhicule'!$A$4:$C$185,3,0))</f>
        <v>Mitsubishi</v>
      </c>
      <c r="E386" s="36" t="str">
        <f>IF(ISNA(VLOOKUP(Tableau13[[#This Row],[Code]],'Code Véhicule'!$A$4:$D$185,4,0))," ",VLOOKUP(Tableau13[[#This Row],[Code]],'Code Véhicule'!$A$4:$D$185,4,0))</f>
        <v xml:space="preserve"> 11469-A-73</v>
      </c>
      <c r="F386" s="36">
        <v>24999</v>
      </c>
      <c r="G386" s="38" t="s">
        <v>393</v>
      </c>
      <c r="H386" s="38" t="s">
        <v>608</v>
      </c>
      <c r="I386" s="36" t="s">
        <v>302</v>
      </c>
      <c r="J386" s="36" t="s">
        <v>828</v>
      </c>
      <c r="K386" s="36">
        <v>154181</v>
      </c>
      <c r="L386" s="40">
        <v>120</v>
      </c>
      <c r="M386" s="36">
        <v>120</v>
      </c>
      <c r="N386" s="41">
        <v>44152</v>
      </c>
      <c r="O386" s="38"/>
      <c r="P386" s="38"/>
      <c r="Q386" s="176" t="e">
        <f>MONTH([1]!Tableau13[[#This Row],[Date début]])</f>
        <v>#REF!</v>
      </c>
      <c r="R386" s="180" t="e">
        <f>YEAR([1]!Tableau13[[#This Row],[Date début]])</f>
        <v>#REF!</v>
      </c>
    </row>
    <row r="387" spans="1:18" ht="15.75" customHeight="1">
      <c r="A387" s="35">
        <v>44152</v>
      </c>
      <c r="B387" s="36">
        <v>481</v>
      </c>
      <c r="C387" s="37" t="str">
        <f>IF(ISNA(VLOOKUP(Tableau13[[#This Row],[Code]],'Code Véhicule'!$A$4:$C$41,2,TRUE)),"",(VLOOKUP(Tableau13[[#This Row],[Code]],'Code Véhicule'!$A$4:$C$41,2,TRUE)))</f>
        <v>Camion</v>
      </c>
      <c r="D387" s="38" t="str">
        <f>IF(ISNA(VLOOKUP(Tableau13[[#This Row],[Code]],'Code Véhicule'!$A$4:$C$185,3,0)),"",VLOOKUP(Tableau13[[#This Row],[Code]],'Code Véhicule'!$A$4:$C$185,3,0))</f>
        <v>VOLVO</v>
      </c>
      <c r="E387" s="36" t="str">
        <f>IF(ISNA(VLOOKUP(Tableau13[[#This Row],[Code]],'Code Véhicule'!$A$4:$D$185,4,0))," ",VLOOKUP(Tableau13[[#This Row],[Code]],'Code Véhicule'!$A$4:$D$185,4,0))</f>
        <v>22300-A-73</v>
      </c>
      <c r="F387" s="36">
        <v>23501</v>
      </c>
      <c r="G387" s="38" t="s">
        <v>525</v>
      </c>
      <c r="H387" s="38" t="s">
        <v>604</v>
      </c>
      <c r="I387" s="36" t="s">
        <v>304</v>
      </c>
      <c r="J387" s="36" t="s">
        <v>372</v>
      </c>
      <c r="K387" s="36">
        <v>154184</v>
      </c>
      <c r="L387" s="40">
        <v>120</v>
      </c>
      <c r="M387" s="36">
        <v>120</v>
      </c>
      <c r="N387" s="41">
        <v>44152</v>
      </c>
      <c r="O387" s="38"/>
      <c r="P387" s="38"/>
      <c r="Q387" s="176" t="e">
        <f>MONTH([1]!Tableau13[[#This Row],[Date début]])</f>
        <v>#REF!</v>
      </c>
      <c r="R387" s="180" t="e">
        <f>YEAR([1]!Tableau13[[#This Row],[Date début]])</f>
        <v>#REF!</v>
      </c>
    </row>
    <row r="388" spans="1:18" ht="30">
      <c r="A388" s="35">
        <v>44154</v>
      </c>
      <c r="B388" s="36">
        <v>471</v>
      </c>
      <c r="C388" s="37" t="str">
        <f>IF(ISNA(VLOOKUP(Tableau13[[#This Row],[Code]],'Code Véhicule'!$A$4:$C$41,2,TRUE)),"",(VLOOKUP(Tableau13[[#This Row],[Code]],'Code Véhicule'!$A$4:$C$41,2,TRUE)))</f>
        <v>Bus de transport</v>
      </c>
      <c r="D388" s="38" t="str">
        <f>IF(ISNA(VLOOKUP(Tableau13[[#This Row],[Code]],'Code Véhicule'!$A$4:$C$185,3,0)),"",VLOOKUP(Tableau13[[#This Row],[Code]],'Code Véhicule'!$A$4:$C$185,3,0))</f>
        <v xml:space="preserve">Hyundai County </v>
      </c>
      <c r="E388" s="36" t="str">
        <f>IF(ISNA(VLOOKUP(Tableau13[[#This Row],[Code]],'Code Véhicule'!$A$4:$D$185,4,0))," ",VLOOKUP(Tableau13[[#This Row],[Code]],'Code Véhicule'!$A$4:$D$185,4,0))</f>
        <v>18516-A-73</v>
      </c>
      <c r="F388" s="36">
        <v>23502</v>
      </c>
      <c r="G388" s="38" t="s">
        <v>545</v>
      </c>
      <c r="H388" s="38" t="s">
        <v>674</v>
      </c>
      <c r="I388" s="36" t="s">
        <v>322</v>
      </c>
      <c r="J388" s="36" t="s">
        <v>829</v>
      </c>
      <c r="K388" s="36">
        <v>1554188</v>
      </c>
      <c r="L388" s="40">
        <v>120</v>
      </c>
      <c r="M388" s="36">
        <v>120</v>
      </c>
      <c r="N388" s="41">
        <v>44154</v>
      </c>
      <c r="O388" s="38"/>
      <c r="P388" s="38"/>
      <c r="Q388" s="176" t="e">
        <f>MONTH([1]!Tableau13[[#This Row],[Date début]])</f>
        <v>#REF!</v>
      </c>
      <c r="R388" s="180" t="e">
        <f>YEAR([1]!Tableau13[[#This Row],[Date début]])</f>
        <v>#REF!</v>
      </c>
    </row>
    <row r="389" spans="1:18" ht="45" customHeight="1">
      <c r="A389" s="35">
        <v>44154</v>
      </c>
      <c r="B389" s="36">
        <v>427</v>
      </c>
      <c r="C389" s="37" t="str">
        <f>IF(ISNA(VLOOKUP(Tableau13[[#This Row],[Code]],'Code Véhicule'!$A$4:$C$41,2,TRUE)),"",(VLOOKUP(Tableau13[[#This Row],[Code]],'Code Véhicule'!$A$4:$C$41,2,TRUE)))</f>
        <v>Chariot elevateur</v>
      </c>
      <c r="D389" s="38" t="str">
        <f>IF(ISNA(VLOOKUP(Tableau13[[#This Row],[Code]],'Code Véhicule'!$A$4:$C$185,3,0)),"",VLOOKUP(Tableau13[[#This Row],[Code]],'Code Véhicule'!$A$4:$C$185,3,0))</f>
        <v>Linde H30</v>
      </c>
      <c r="E389" s="36" t="str">
        <f>IF(ISNA(VLOOKUP(Tableau13[[#This Row],[Code]],'Code Véhicule'!$A$4:$D$185,4,0))," ",VLOOKUP(Tableau13[[#This Row],[Code]],'Code Véhicule'!$A$4:$D$185,4,0))</f>
        <v>-</v>
      </c>
      <c r="F389" s="36">
        <v>23504</v>
      </c>
      <c r="G389" s="38" t="s">
        <v>393</v>
      </c>
      <c r="H389" s="38" t="s">
        <v>608</v>
      </c>
      <c r="I389" s="36" t="s">
        <v>302</v>
      </c>
      <c r="J389" s="36" t="s">
        <v>970</v>
      </c>
      <c r="K389" s="36">
        <v>154190</v>
      </c>
      <c r="L389" s="40">
        <v>60</v>
      </c>
      <c r="M389" s="36">
        <v>60</v>
      </c>
      <c r="N389" s="41">
        <v>44154</v>
      </c>
      <c r="O389" s="38"/>
      <c r="P389" s="38"/>
      <c r="Q389" s="176" t="e">
        <f>MONTH([1]!Tableau13[[#This Row],[Date début]])</f>
        <v>#REF!</v>
      </c>
      <c r="R389" s="180" t="e">
        <f>YEAR([1]!Tableau13[[#This Row],[Date début]])</f>
        <v>#REF!</v>
      </c>
    </row>
    <row r="390" spans="1:18" ht="15.75" customHeight="1">
      <c r="A390" s="35">
        <v>44155</v>
      </c>
      <c r="B390" s="36">
        <v>429</v>
      </c>
      <c r="C390" s="37" t="str">
        <f>IF(ISNA(VLOOKUP(Tableau13[[#This Row],[Code]],'Code Véhicule'!$A$4:$C$41,2,TRUE)),"",(VLOOKUP(Tableau13[[#This Row],[Code]],'Code Véhicule'!$A$4:$C$41,2,TRUE)))</f>
        <v>Chariot elevateur</v>
      </c>
      <c r="D390" s="38" t="str">
        <f>IF(ISNA(VLOOKUP(Tableau13[[#This Row],[Code]],'Code Véhicule'!$A$4:$C$185,3,0)),"",VLOOKUP(Tableau13[[#This Row],[Code]],'Code Véhicule'!$A$4:$C$185,3,0))</f>
        <v>Fenwick HD30</v>
      </c>
      <c r="E390" s="36" t="str">
        <f>IF(ISNA(VLOOKUP(Tableau13[[#This Row],[Code]],'Code Véhicule'!$A$4:$D$185,4,0))," ",VLOOKUP(Tableau13[[#This Row],[Code]],'Code Véhicule'!$A$4:$D$185,4,0))</f>
        <v>-</v>
      </c>
      <c r="F390" s="36">
        <v>23506</v>
      </c>
      <c r="G390" s="38" t="s">
        <v>393</v>
      </c>
      <c r="H390" s="38" t="s">
        <v>613</v>
      </c>
      <c r="I390" s="36" t="s">
        <v>302</v>
      </c>
      <c r="J390" s="36" t="s">
        <v>830</v>
      </c>
      <c r="K390" s="36">
        <v>154193</v>
      </c>
      <c r="L390" s="40">
        <v>30</v>
      </c>
      <c r="M390" s="36">
        <v>30</v>
      </c>
      <c r="N390" s="41">
        <v>44155</v>
      </c>
      <c r="O390" s="38"/>
      <c r="P390" s="38"/>
      <c r="Q390" s="176" t="e">
        <f>MONTH([1]!Tableau13[[#This Row],[Date début]])</f>
        <v>#REF!</v>
      </c>
      <c r="R390" s="180" t="e">
        <f>YEAR([1]!Tableau13[[#This Row],[Date début]])</f>
        <v>#REF!</v>
      </c>
    </row>
    <row r="391" spans="1:18" ht="75">
      <c r="A391" s="35">
        <v>44159</v>
      </c>
      <c r="B391" s="36">
        <v>479</v>
      </c>
      <c r="C391" s="37" t="str">
        <f>IF(ISNA(VLOOKUP(Tableau13[[#This Row],[Code]],'Code Véhicule'!$A$4:$C$41,2,TRUE)),"",(VLOOKUP(Tableau13[[#This Row],[Code]],'Code Véhicule'!$A$4:$C$41,2,TRUE)))</f>
        <v>Bus de transport</v>
      </c>
      <c r="D391" s="38" t="str">
        <f>IF(ISNA(VLOOKUP(Tableau13[[#This Row],[Code]],'Code Véhicule'!$A$4:$C$185,3,0)),"",VLOOKUP(Tableau13[[#This Row],[Code]],'Code Véhicule'!$A$4:$C$185,3,0))</f>
        <v>Hyundai County</v>
      </c>
      <c r="E391" s="36" t="str">
        <f>IF(ISNA(VLOOKUP(Tableau13[[#This Row],[Code]],'Code Véhicule'!$A$4:$D$185,4,0))," ",VLOOKUP(Tableau13[[#This Row],[Code]],'Code Véhicule'!$A$4:$D$185,4,0))</f>
        <v>22772-A-73</v>
      </c>
      <c r="F391" s="36">
        <v>23511</v>
      </c>
      <c r="G391" s="38" t="s">
        <v>393</v>
      </c>
      <c r="H391" s="38" t="s">
        <v>608</v>
      </c>
      <c r="I391" s="36" t="s">
        <v>302</v>
      </c>
      <c r="J391" s="36" t="s">
        <v>836</v>
      </c>
      <c r="K391" s="36">
        <v>154560</v>
      </c>
      <c r="L391" s="40">
        <v>120</v>
      </c>
      <c r="M391" s="36">
        <v>120</v>
      </c>
      <c r="N391" s="41">
        <v>44159</v>
      </c>
      <c r="O391" s="38"/>
      <c r="P391" s="38"/>
      <c r="Q391" s="176" t="e">
        <f>MONTH([1]!Tableau13[[#This Row],[Date début]])</f>
        <v>#REF!</v>
      </c>
      <c r="R391" s="180" t="e">
        <f>YEAR([1]!Tableau13[[#This Row],[Date début]])</f>
        <v>#REF!</v>
      </c>
    </row>
    <row r="392" spans="1:18" ht="15.75" customHeight="1">
      <c r="A392" s="35">
        <v>44161</v>
      </c>
      <c r="B392" s="36">
        <v>480</v>
      </c>
      <c r="C392" s="37" t="str">
        <f>IF(ISNA(VLOOKUP(Tableau13[[#This Row],[Code]],'Code Véhicule'!$A$4:$C$41,2,TRUE)),"",(VLOOKUP(Tableau13[[#This Row],[Code]],'Code Véhicule'!$A$4:$C$41,2,TRUE)))</f>
        <v>Camion</v>
      </c>
      <c r="D392" s="38" t="str">
        <f>IF(ISNA(VLOOKUP(Tableau13[[#This Row],[Code]],'Code Véhicule'!$A$4:$C$185,3,0)),"",VLOOKUP(Tableau13[[#This Row],[Code]],'Code Véhicule'!$A$4:$C$185,3,0))</f>
        <v>VOLVO</v>
      </c>
      <c r="E392" s="36" t="str">
        <f>IF(ISNA(VLOOKUP(Tableau13[[#This Row],[Code]],'Code Véhicule'!$A$4:$D$185,4,0))," ",VLOOKUP(Tableau13[[#This Row],[Code]],'Code Véhicule'!$A$4:$D$185,4,0))</f>
        <v>22299-A-73</v>
      </c>
      <c r="F392" s="36">
        <v>23513</v>
      </c>
      <c r="G392" s="38" t="s">
        <v>560</v>
      </c>
      <c r="H392" s="38" t="s">
        <v>604</v>
      </c>
      <c r="I392" s="36" t="s">
        <v>304</v>
      </c>
      <c r="J392" s="36" t="s">
        <v>340</v>
      </c>
      <c r="K392" s="36">
        <v>154571</v>
      </c>
      <c r="L392" s="40">
        <v>120</v>
      </c>
      <c r="M392" s="36">
        <v>120</v>
      </c>
      <c r="N392" s="41">
        <v>44161</v>
      </c>
      <c r="O392" s="38"/>
      <c r="P392" s="38"/>
      <c r="Q392" s="176" t="e">
        <f>MONTH([1]!Tableau13[[#This Row],[Date début]])</f>
        <v>#REF!</v>
      </c>
      <c r="R392" s="180" t="e">
        <f>YEAR([1]!Tableau13[[#This Row],[Date début]])</f>
        <v>#REF!</v>
      </c>
    </row>
    <row r="393" spans="1:18" ht="45" customHeight="1">
      <c r="A393" s="35">
        <v>44161</v>
      </c>
      <c r="B393" s="36">
        <v>432</v>
      </c>
      <c r="C393" s="37" t="str">
        <f>IF(ISNA(VLOOKUP(Tableau13[[#This Row],[Code]],'Code Véhicule'!$A$4:$C$41,2,TRUE)),"",(VLOOKUP(Tableau13[[#This Row],[Code]],'Code Véhicule'!$A$4:$C$41,2,TRUE)))</f>
        <v>Voiture de fonction</v>
      </c>
      <c r="D393" s="38" t="str">
        <f>IF(ISNA(VLOOKUP(Tableau13[[#This Row],[Code]],'Code Véhicule'!$A$4:$C$185,3,0)),"",VLOOKUP(Tableau13[[#This Row],[Code]],'Code Véhicule'!$A$4:$C$185,3,0))</f>
        <v>Berlingo</v>
      </c>
      <c r="E393" s="36" t="str">
        <f>IF(ISNA(VLOOKUP(Tableau13[[#This Row],[Code]],'Code Véhicule'!$A$4:$D$185,4,0))," ",VLOOKUP(Tableau13[[#This Row],[Code]],'Code Véhicule'!$A$4:$D$185,4,0))</f>
        <v xml:space="preserve"> 9660 -A-73</v>
      </c>
      <c r="F393" s="36">
        <v>23514</v>
      </c>
      <c r="G393" s="38" t="s">
        <v>455</v>
      </c>
      <c r="H393" s="38" t="s">
        <v>839</v>
      </c>
      <c r="I393" s="36" t="s">
        <v>304</v>
      </c>
      <c r="J393" s="36" t="s">
        <v>840</v>
      </c>
      <c r="K393" s="36">
        <v>154574</v>
      </c>
      <c r="L393" s="40">
        <v>570</v>
      </c>
      <c r="M393" s="36">
        <v>570</v>
      </c>
      <c r="N393" s="41">
        <v>44161</v>
      </c>
      <c r="O393" s="38"/>
      <c r="P393" s="38"/>
      <c r="Q393" s="176" t="e">
        <f>MONTH([1]!Tableau13[[#This Row],[Date début]])</f>
        <v>#REF!</v>
      </c>
      <c r="R393" s="180" t="e">
        <f>YEAR([1]!Tableau13[[#This Row],[Date début]])</f>
        <v>#REF!</v>
      </c>
    </row>
    <row r="394" spans="1:18" ht="60" customHeight="1">
      <c r="A394" s="35">
        <v>44162</v>
      </c>
      <c r="B394" s="36">
        <v>409</v>
      </c>
      <c r="C394" s="37" t="str">
        <f>IF(ISNA(VLOOKUP(Tableau13[[#This Row],[Code]],'Code Véhicule'!$A$4:$C$41,2,TRUE)),"",(VLOOKUP(Tableau13[[#This Row],[Code]],'Code Véhicule'!$A$4:$C$41,2,TRUE)))</f>
        <v>Camion</v>
      </c>
      <c r="D394" s="38" t="str">
        <f>IF(ISNA(VLOOKUP(Tableau13[[#This Row],[Code]],'Code Véhicule'!$A$4:$C$185,3,0)),"",VLOOKUP(Tableau13[[#This Row],[Code]],'Code Véhicule'!$A$4:$C$185,3,0))</f>
        <v>Mitsubishi</v>
      </c>
      <c r="E394" s="36" t="str">
        <f>IF(ISNA(VLOOKUP(Tableau13[[#This Row],[Code]],'Code Véhicule'!$A$4:$D$185,4,0))," ",VLOOKUP(Tableau13[[#This Row],[Code]],'Code Véhicule'!$A$4:$D$185,4,0))</f>
        <v xml:space="preserve">4969-A-73 </v>
      </c>
      <c r="F394" s="36">
        <v>23515</v>
      </c>
      <c r="G394" s="38" t="s">
        <v>353</v>
      </c>
      <c r="H394" s="38" t="s">
        <v>729</v>
      </c>
      <c r="I394" s="36" t="s">
        <v>304</v>
      </c>
      <c r="J394" s="36" t="s">
        <v>1463</v>
      </c>
      <c r="K394" s="36">
        <v>154576</v>
      </c>
      <c r="L394" s="40">
        <v>120</v>
      </c>
      <c r="M394" s="36">
        <v>120</v>
      </c>
      <c r="N394" s="41">
        <v>44162</v>
      </c>
      <c r="O394" s="38"/>
      <c r="P394" s="38"/>
      <c r="Q394" s="176" t="e">
        <f>MONTH([1]!Tableau13[[#This Row],[Date début]])</f>
        <v>#REF!</v>
      </c>
      <c r="R394" s="180" t="e">
        <f>YEAR([1]!Tableau13[[#This Row],[Date début]])</f>
        <v>#REF!</v>
      </c>
    </row>
    <row r="395" spans="1:18" ht="75">
      <c r="A395" s="35">
        <v>44165</v>
      </c>
      <c r="B395" s="36">
        <v>471</v>
      </c>
      <c r="C395" s="37" t="str">
        <f>IF(ISNA(VLOOKUP(Tableau13[[#This Row],[Code]],'Code Véhicule'!$A$4:$C$185,2,0)),"",VLOOKUP(Tableau13[[#This Row],[Code]],'Code Véhicule'!$A$4:$C$185,2,0))</f>
        <v>Bus de transport</v>
      </c>
      <c r="D395" s="38" t="str">
        <f>IF(ISNA(VLOOKUP(Tableau13[[#This Row],[Code]],'Code Véhicule'!$A$4:$C$185,3,0)),"",VLOOKUP(Tableau13[[#This Row],[Code]],'Code Véhicule'!$A$4:$C$185,3,0))</f>
        <v xml:space="preserve">Hyundai County </v>
      </c>
      <c r="E395" s="36" t="str">
        <f>IF(ISNA(VLOOKUP(Tableau13[[#This Row],[Code]],'Code Véhicule'!$A$4:$D$185,4,0))," ",VLOOKUP(Tableau13[[#This Row],[Code]],'Code Véhicule'!$A$4:$D$185,4,0))</f>
        <v>18516-A-73</v>
      </c>
      <c r="F395" s="36">
        <v>23514</v>
      </c>
      <c r="G395" s="38" t="s">
        <v>556</v>
      </c>
      <c r="H395" s="38" t="s">
        <v>608</v>
      </c>
      <c r="I395" s="36" t="s">
        <v>302</v>
      </c>
      <c r="J395" s="36" t="s">
        <v>877</v>
      </c>
      <c r="K395" s="36"/>
      <c r="L395" s="40"/>
      <c r="M395" s="40" t="str">
        <f>IF(ISBLANK(Tableau13[[#This Row],[N BS]]),"",(Tableau13[[#This Row],[N BS]]-Tableau13[[#This Row],[Date début]]))</f>
        <v/>
      </c>
      <c r="N395" s="41"/>
      <c r="O395" s="45"/>
      <c r="P395" s="45"/>
      <c r="Q395" s="176" t="e">
        <f>MONTH([1]!Tableau13[[#This Row],[Date début]])</f>
        <v>#REF!</v>
      </c>
      <c r="R395" s="180" t="e">
        <f>YEAR([1]!Tableau13[[#This Row],[Date début]])</f>
        <v>#REF!</v>
      </c>
    </row>
    <row r="396" spans="1:18" ht="15.75" customHeight="1">
      <c r="A396" s="35">
        <v>44166</v>
      </c>
      <c r="B396" s="36">
        <v>401</v>
      </c>
      <c r="C396" s="37" t="str">
        <f>IF(ISNA(VLOOKUP(Tableau13[[#This Row],[Code]],'Code Véhicule'!$A$4:$C$41,2,TRUE)),"",(VLOOKUP(Tableau13[[#This Row],[Code]],'Code Véhicule'!$A$4:$C$41,2,TRUE)))</f>
        <v>Camion</v>
      </c>
      <c r="D396" s="38" t="str">
        <f>IF(ISNA(VLOOKUP(Tableau13[[#This Row],[Code]],'Code Véhicule'!$A$4:$C$185,3,0)),"",VLOOKUP(Tableau13[[#This Row],[Code]],'Code Véhicule'!$A$4:$C$185,3,0))</f>
        <v>ISUZU</v>
      </c>
      <c r="E396" s="36" t="str">
        <f>IF(ISNA(VLOOKUP(Tableau13[[#This Row],[Code]],'Code Véhicule'!$A$4:$D$185,4,0))," ",VLOOKUP(Tableau13[[#This Row],[Code]],'Code Véhicule'!$A$4:$D$185,4,0))</f>
        <v>26128-A-8</v>
      </c>
      <c r="F396" s="36">
        <v>23516</v>
      </c>
      <c r="G396" s="38" t="s">
        <v>313</v>
      </c>
      <c r="H396" s="38" t="s">
        <v>841</v>
      </c>
      <c r="I396" s="36" t="s">
        <v>304</v>
      </c>
      <c r="J396" s="36" t="s">
        <v>842</v>
      </c>
      <c r="K396" s="36">
        <v>1554589</v>
      </c>
      <c r="L396" s="40">
        <v>570</v>
      </c>
      <c r="M396" s="36">
        <v>1145</v>
      </c>
      <c r="N396" s="41">
        <v>44170</v>
      </c>
      <c r="O396" s="38"/>
      <c r="P396" s="38"/>
      <c r="Q396" s="176" t="e">
        <f>MONTH([1]!Tableau13[[#This Row],[Date début]])</f>
        <v>#REF!</v>
      </c>
      <c r="R396" s="180" t="e">
        <f>YEAR([1]!Tableau13[[#This Row],[Date début]])</f>
        <v>#REF!</v>
      </c>
    </row>
    <row r="397" spans="1:18" ht="15.75" customHeight="1">
      <c r="A397" s="35">
        <v>44166</v>
      </c>
      <c r="B397" s="36">
        <v>406</v>
      </c>
      <c r="C397" s="37" t="str">
        <f>IF(ISNA(VLOOKUP(Tableau13[[#This Row],[Code]],'Code Véhicule'!$A$4:$C$185,2,0)),"",VLOOKUP(Tableau13[[#This Row],[Code]],'Code Véhicule'!$A$4:$C$185,2,0))</f>
        <v>Semi remorque</v>
      </c>
      <c r="D397" s="38" t="str">
        <f>IF(ISNA(VLOOKUP(Tableau13[[#This Row],[Code]],'Code Véhicule'!$A$4:$C$185,3,0)),"",VLOOKUP(Tableau13[[#This Row],[Code]],'Code Véhicule'!$A$4:$C$185,3,0))</f>
        <v>VOLVO</v>
      </c>
      <c r="E397" s="36" t="str">
        <f>IF(ISNA(VLOOKUP(Tableau13[[#This Row],[Code]],'Code Véhicule'!$A$4:$D$185,4,0))," ",VLOOKUP(Tableau13[[#This Row],[Code]],'Code Véhicule'!$A$4:$D$185,4,0))</f>
        <v>70352-A-6</v>
      </c>
      <c r="F397" s="36">
        <v>23971</v>
      </c>
      <c r="G397" s="38" t="s">
        <v>334</v>
      </c>
      <c r="H397" s="38" t="s">
        <v>914</v>
      </c>
      <c r="I397" s="36" t="s">
        <v>304</v>
      </c>
      <c r="J397" s="39" t="s">
        <v>915</v>
      </c>
      <c r="K397" s="36">
        <v>154722</v>
      </c>
      <c r="L397" s="40">
        <v>240</v>
      </c>
      <c r="M397" s="40">
        <v>240</v>
      </c>
      <c r="N397" s="41">
        <v>44167</v>
      </c>
      <c r="O397" s="45"/>
      <c r="P397" s="45"/>
      <c r="Q397" s="176" t="e">
        <f>MONTH([1]!Tableau13[[#This Row],[Date début]])</f>
        <v>#REF!</v>
      </c>
      <c r="R397" s="180" t="e">
        <f>YEAR([1]!Tableau13[[#This Row],[Date début]])</f>
        <v>#REF!</v>
      </c>
    </row>
    <row r="398" spans="1:18" ht="15.75" customHeight="1">
      <c r="A398" s="35">
        <v>44167</v>
      </c>
      <c r="B398" s="36">
        <v>434</v>
      </c>
      <c r="C398" s="37" t="str">
        <f>IF(ISNA(VLOOKUP(Tableau13[[#This Row],[Code]],'Code Véhicule'!$A$4:$C$185,2,0)),"",VLOOKUP(Tableau13[[#This Row],[Code]],'Code Véhicule'!$A$4:$C$185,2,0))</f>
        <v>Chariot elevateur</v>
      </c>
      <c r="D398" s="38" t="str">
        <f>IF(ISNA(VLOOKUP(Tableau13[[#This Row],[Code]],'Code Véhicule'!$A$4:$C$185,3,0)),"",VLOOKUP(Tableau13[[#This Row],[Code]],'Code Véhicule'!$A$4:$C$185,3,0))</f>
        <v>Linde H30D</v>
      </c>
      <c r="E398" s="36" t="str">
        <f>IF(ISNA(VLOOKUP(Tableau13[[#This Row],[Code]],'Code Véhicule'!$A$4:$D$185,4,0))," ",VLOOKUP(Tableau13[[#This Row],[Code]],'Code Véhicule'!$A$4:$D$185,4,0))</f>
        <v>-</v>
      </c>
      <c r="F398" s="36">
        <v>23972</v>
      </c>
      <c r="G398" s="38" t="s">
        <v>393</v>
      </c>
      <c r="H398" s="38" t="s">
        <v>608</v>
      </c>
      <c r="I398" s="36" t="s">
        <v>302</v>
      </c>
      <c r="J398" s="39" t="s">
        <v>528</v>
      </c>
      <c r="K398" s="36">
        <v>154723</v>
      </c>
      <c r="L398" s="40">
        <v>180</v>
      </c>
      <c r="M398" s="40">
        <v>180</v>
      </c>
      <c r="N398" s="41">
        <v>44167</v>
      </c>
      <c r="O398" s="45"/>
      <c r="P398" s="45"/>
      <c r="Q398" s="176" t="e">
        <f>MONTH([1]!Tableau13[[#This Row],[Date début]])</f>
        <v>#REF!</v>
      </c>
      <c r="R398" s="180" t="e">
        <f>YEAR([1]!Tableau13[[#This Row],[Date début]])</f>
        <v>#REF!</v>
      </c>
    </row>
    <row r="399" spans="1:18" ht="45" customHeight="1">
      <c r="A399" s="35">
        <v>44167</v>
      </c>
      <c r="B399" s="36">
        <v>438</v>
      </c>
      <c r="C399" s="37" t="str">
        <f>IF(ISNA(VLOOKUP(Tableau13[[#This Row],[Code]],'Code Véhicule'!$A$4:$C$185,2,0)),"",VLOOKUP(Tableau13[[#This Row],[Code]],'Code Véhicule'!$A$4:$C$185,2,0))</f>
        <v>Semi remorque</v>
      </c>
      <c r="D399" s="38" t="s">
        <v>903</v>
      </c>
      <c r="E399" s="36" t="str">
        <f>IF(ISNA(VLOOKUP(Tableau13[[#This Row],[Code]],'Code Véhicule'!$A$4:$D$185,4,0))," ",VLOOKUP(Tableau13[[#This Row],[Code]],'Code Véhicule'!$A$4:$D$185,4,0))</f>
        <v xml:space="preserve">17885-A-73 </v>
      </c>
      <c r="F399" s="36">
        <v>23973</v>
      </c>
      <c r="G399" s="38" t="s">
        <v>353</v>
      </c>
      <c r="H399" s="38" t="s">
        <v>729</v>
      </c>
      <c r="I399" s="36" t="s">
        <v>304</v>
      </c>
      <c r="J399" s="39" t="s">
        <v>916</v>
      </c>
      <c r="K399" s="36">
        <v>154725</v>
      </c>
      <c r="L399" s="40">
        <v>120</v>
      </c>
      <c r="M399" s="40">
        <v>120</v>
      </c>
      <c r="N399" s="41">
        <v>44167</v>
      </c>
      <c r="O399" s="45"/>
      <c r="P399" s="45"/>
      <c r="Q399" s="176" t="e">
        <f>MONTH([1]!Tableau13[[#This Row],[Date début]])</f>
        <v>#REF!</v>
      </c>
      <c r="R399" s="180" t="e">
        <f>YEAR([1]!Tableau13[[#This Row],[Date début]])</f>
        <v>#REF!</v>
      </c>
    </row>
    <row r="400" spans="1:18" ht="45" customHeight="1">
      <c r="A400" s="35">
        <v>44169</v>
      </c>
      <c r="B400" s="36">
        <v>407</v>
      </c>
      <c r="C400" s="37" t="str">
        <f>IF(ISNA(VLOOKUP(Tableau13[[#This Row],[Code]],'Code Véhicule'!$A$4:$C$41,2,TRUE)),"",(VLOOKUP(Tableau13[[#This Row],[Code]],'Code Véhicule'!$A$4:$C$41,2,TRUE)))</f>
        <v>Semi remorque</v>
      </c>
      <c r="D400" s="38" t="str">
        <f>IF(ISNA(VLOOKUP(Tableau13[[#This Row],[Code]],'Code Véhicule'!$A$4:$C$185,3,0)),"",VLOOKUP(Tableau13[[#This Row],[Code]],'Code Véhicule'!$A$4:$C$185,3,0))</f>
        <v>MAN</v>
      </c>
      <c r="E400" s="36" t="str">
        <f>IF(ISNA(VLOOKUP(Tableau13[[#This Row],[Code]],'Code Véhicule'!$A$4:$D$185,4,0))," ",VLOOKUP(Tableau13[[#This Row],[Code]],'Code Véhicule'!$A$4:$D$185,4,0))</f>
        <v>706-A-73</v>
      </c>
      <c r="F400" s="36">
        <v>23523</v>
      </c>
      <c r="G400" s="38" t="s">
        <v>399</v>
      </c>
      <c r="H400" s="38" t="s">
        <v>850</v>
      </c>
      <c r="I400" s="36" t="s">
        <v>304</v>
      </c>
      <c r="J400" s="36" t="s">
        <v>852</v>
      </c>
      <c r="K400" s="36">
        <v>155811</v>
      </c>
      <c r="L400" s="40">
        <v>1710</v>
      </c>
      <c r="M400" s="36">
        <v>2850</v>
      </c>
      <c r="N400" s="41">
        <v>44177</v>
      </c>
      <c r="O400" s="38"/>
      <c r="P400" s="38"/>
      <c r="Q400" s="176" t="e">
        <f>MONTH([1]!Tableau13[[#This Row],[Date début]])</f>
        <v>#REF!</v>
      </c>
      <c r="R400" s="180" t="e">
        <f>YEAR([1]!Tableau13[[#This Row],[Date début]])</f>
        <v>#REF!</v>
      </c>
    </row>
    <row r="401" spans="1:18" ht="15.75" customHeight="1">
      <c r="A401" s="35">
        <v>44170</v>
      </c>
      <c r="B401" s="36">
        <v>411</v>
      </c>
      <c r="C401" s="37" t="str">
        <f>IF(ISNA(VLOOKUP(Tableau13[[#This Row],[Code]],'Code Véhicule'!$A$4:$C$185,2,0)),"",VLOOKUP(Tableau13[[#This Row],[Code]],'Code Véhicule'!$A$4:$C$185,2,0))</f>
        <v>Camion</v>
      </c>
      <c r="D401" s="38" t="str">
        <f>IF(ISNA(VLOOKUP(Tableau13[[#This Row],[Code]],'Code Véhicule'!$A$4:$C$185,3,0)),"",VLOOKUP(Tableau13[[#This Row],[Code]],'Code Véhicule'!$A$4:$C$185,3,0))</f>
        <v>Renault</v>
      </c>
      <c r="E401" s="36" t="str">
        <f>IF(ISNA(VLOOKUP(Tableau13[[#This Row],[Code]],'Code Véhicule'!$A$4:$D$185,4,0))," ",VLOOKUP(Tableau13[[#This Row],[Code]],'Code Véhicule'!$A$4:$D$185,4,0))</f>
        <v>25636-A-13</v>
      </c>
      <c r="F401" s="36">
        <v>23974</v>
      </c>
      <c r="G401" s="38" t="s">
        <v>403</v>
      </c>
      <c r="H401" s="38" t="s">
        <v>917</v>
      </c>
      <c r="I401" s="36" t="s">
        <v>304</v>
      </c>
      <c r="J401" s="39" t="s">
        <v>918</v>
      </c>
      <c r="K401" s="36">
        <v>154738</v>
      </c>
      <c r="L401" s="40">
        <v>2</v>
      </c>
      <c r="M401" s="40">
        <v>2</v>
      </c>
      <c r="N401" s="41">
        <v>44170</v>
      </c>
      <c r="O401" s="45"/>
      <c r="P401" s="45"/>
      <c r="Q401" s="176" t="e">
        <f>MONTH([1]!Tableau13[[#This Row],[Date début]])</f>
        <v>#REF!</v>
      </c>
      <c r="R401" s="180" t="e">
        <f>YEAR([1]!Tableau13[[#This Row],[Date début]])</f>
        <v>#REF!</v>
      </c>
    </row>
    <row r="402" spans="1:18" ht="30" customHeight="1">
      <c r="A402" s="35">
        <v>44170</v>
      </c>
      <c r="B402" s="36">
        <v>409</v>
      </c>
      <c r="C402" s="37" t="str">
        <f>IF(ISNA(VLOOKUP(Tableau13[[#This Row],[Code]],'Code Véhicule'!$A$4:$C$185,2,0)),"",VLOOKUP(Tableau13[[#This Row],[Code]],'Code Véhicule'!$A$4:$C$185,2,0))</f>
        <v>Camion</v>
      </c>
      <c r="D402" s="38" t="str">
        <f>IF(ISNA(VLOOKUP(Tableau13[[#This Row],[Code]],'Code Véhicule'!$A$4:$C$185,3,0)),"",VLOOKUP(Tableau13[[#This Row],[Code]],'Code Véhicule'!$A$4:$C$185,3,0))</f>
        <v>Mitsubishi</v>
      </c>
      <c r="E402" s="36" t="str">
        <f>IF(ISNA(VLOOKUP(Tableau13[[#This Row],[Code]],'Code Véhicule'!$A$4:$D$185,4,0))," ",VLOOKUP(Tableau13[[#This Row],[Code]],'Code Véhicule'!$A$4:$D$185,4,0))</f>
        <v xml:space="preserve">4969-A-73 </v>
      </c>
      <c r="F402" s="36">
        <v>23975</v>
      </c>
      <c r="G402" s="38" t="s">
        <v>393</v>
      </c>
      <c r="H402" s="38" t="s">
        <v>608</v>
      </c>
      <c r="I402" s="36" t="s">
        <v>302</v>
      </c>
      <c r="J402" s="39" t="s">
        <v>919</v>
      </c>
      <c r="K402" s="36">
        <v>154740</v>
      </c>
      <c r="L402" s="40">
        <v>60</v>
      </c>
      <c r="M402" s="40">
        <v>60</v>
      </c>
      <c r="N402" s="41">
        <v>44170</v>
      </c>
      <c r="O402" s="45"/>
      <c r="P402" s="45"/>
      <c r="Q402" s="176" t="e">
        <f>MONTH([1]!Tableau13[[#This Row],[Date début]])</f>
        <v>#REF!</v>
      </c>
      <c r="R402" s="180" t="e">
        <f>YEAR([1]!Tableau13[[#This Row],[Date début]])</f>
        <v>#REF!</v>
      </c>
    </row>
    <row r="403" spans="1:18" ht="15.75" customHeight="1">
      <c r="A403" s="35">
        <v>44170</v>
      </c>
      <c r="B403" s="36">
        <v>429</v>
      </c>
      <c r="C403" s="37" t="str">
        <f>IF(ISNA(VLOOKUP(Tableau13[[#This Row],[Code]],'Code Véhicule'!$A$4:$C$185,2,0)),"",VLOOKUP(Tableau13[[#This Row],[Code]],'Code Véhicule'!$A$4:$C$185,2,0))</f>
        <v>Chariot elevateur</v>
      </c>
      <c r="D403" s="38" t="str">
        <f>IF(ISNA(VLOOKUP(Tableau13[[#This Row],[Code]],'Code Véhicule'!$A$4:$C$185,3,0)),"",VLOOKUP(Tableau13[[#This Row],[Code]],'Code Véhicule'!$A$4:$C$185,3,0))</f>
        <v>Fenwick HD30</v>
      </c>
      <c r="E403" s="36" t="str">
        <f>IF(ISNA(VLOOKUP(Tableau13[[#This Row],[Code]],'Code Véhicule'!$A$4:$D$185,4,0))," ",VLOOKUP(Tableau13[[#This Row],[Code]],'Code Véhicule'!$A$4:$D$185,4,0))</f>
        <v>-</v>
      </c>
      <c r="F403" s="36">
        <v>23979</v>
      </c>
      <c r="G403" s="38" t="s">
        <v>493</v>
      </c>
      <c r="H403" s="38" t="s">
        <v>601</v>
      </c>
      <c r="I403" s="36" t="s">
        <v>304</v>
      </c>
      <c r="J403" s="39" t="s">
        <v>924</v>
      </c>
      <c r="K403" s="36">
        <v>156309</v>
      </c>
      <c r="L403" s="40">
        <v>60</v>
      </c>
      <c r="M403" s="40">
        <v>60</v>
      </c>
      <c r="N403" s="41">
        <v>44170</v>
      </c>
      <c r="O403" s="45"/>
      <c r="P403" s="45"/>
      <c r="Q403" s="176" t="e">
        <f>MONTH([1]!Tableau13[[#This Row],[Date début]])</f>
        <v>#REF!</v>
      </c>
      <c r="R403" s="180" t="e">
        <f>YEAR([1]!Tableau13[[#This Row],[Date début]])</f>
        <v>#REF!</v>
      </c>
    </row>
    <row r="404" spans="1:18" ht="90" customHeight="1">
      <c r="A404" s="35">
        <v>44171</v>
      </c>
      <c r="B404" s="36">
        <v>429</v>
      </c>
      <c r="C404" s="37" t="str">
        <f>IF(ISNA(VLOOKUP(Tableau13[[#This Row],[Code]],'Code Véhicule'!$A$4:$C$41,2,TRUE)),"",(VLOOKUP(Tableau13[[#This Row],[Code]],'Code Véhicule'!$A$4:$C$41,2,TRUE)))</f>
        <v>Chariot elevateur</v>
      </c>
      <c r="D404" s="38" t="str">
        <f>IF(ISNA(VLOOKUP(Tableau13[[#This Row],[Code]],'Code Véhicule'!$A$4:$C$185,3,0)),"",VLOOKUP(Tableau13[[#This Row],[Code]],'Code Véhicule'!$A$4:$C$185,3,0))</f>
        <v>Fenwick HD30</v>
      </c>
      <c r="E404" s="36" t="str">
        <f>IF(ISNA(VLOOKUP(Tableau13[[#This Row],[Code]],'Code Véhicule'!$A$4:$D$185,4,0))," ",VLOOKUP(Tableau13[[#This Row],[Code]],'Code Véhicule'!$A$4:$D$185,4,0))</f>
        <v>-</v>
      </c>
      <c r="F404" s="36">
        <v>23517</v>
      </c>
      <c r="G404" s="38" t="s">
        <v>843</v>
      </c>
      <c r="H404" s="38" t="s">
        <v>844</v>
      </c>
      <c r="I404" s="36" t="s">
        <v>304</v>
      </c>
      <c r="J404" s="36" t="s">
        <v>845</v>
      </c>
      <c r="K404" s="36">
        <v>154581</v>
      </c>
      <c r="L404" s="40">
        <v>1140</v>
      </c>
      <c r="M404" s="36">
        <v>1140</v>
      </c>
      <c r="N404" s="41">
        <v>44173</v>
      </c>
      <c r="O404" s="38"/>
      <c r="P404" s="38"/>
      <c r="Q404" s="176" t="e">
        <f>MONTH([1]!Tableau13[[#This Row],[Date début]])</f>
        <v>#REF!</v>
      </c>
      <c r="R404" s="180" t="e">
        <f>YEAR([1]!Tableau13[[#This Row],[Date début]])</f>
        <v>#REF!</v>
      </c>
    </row>
    <row r="405" spans="1:18" ht="30" customHeight="1">
      <c r="A405" s="35">
        <v>44172</v>
      </c>
      <c r="B405" s="36">
        <v>435</v>
      </c>
      <c r="C405" s="37" t="str">
        <f>IF(ISNA(VLOOKUP(Tableau13[[#This Row],[Code]],'Code Véhicule'!$A$4:$C$185,2,0)),"",VLOOKUP(Tableau13[[#This Row],[Code]],'Code Véhicule'!$A$4:$C$185,2,0))</f>
        <v>Camion</v>
      </c>
      <c r="D405" s="38" t="str">
        <f>IF(ISNA(VLOOKUP(Tableau13[[#This Row],[Code]],'Code Véhicule'!$A$4:$C$185,3,0)),"",VLOOKUP(Tableau13[[#This Row],[Code]],'Code Véhicule'!$A$4:$C$185,3,0))</f>
        <v>Mitsubishi</v>
      </c>
      <c r="E405" s="36" t="str">
        <f>IF(ISNA(VLOOKUP(Tableau13[[#This Row],[Code]],'Code Véhicule'!$A$4:$D$185,4,0))," ",VLOOKUP(Tableau13[[#This Row],[Code]],'Code Véhicule'!$A$4:$D$185,4,0))</f>
        <v xml:space="preserve"> 11469-A-73</v>
      </c>
      <c r="F405" s="36">
        <v>23980</v>
      </c>
      <c r="G405" s="38" t="s">
        <v>353</v>
      </c>
      <c r="H405" s="38" t="s">
        <v>729</v>
      </c>
      <c r="I405" s="36" t="s">
        <v>304</v>
      </c>
      <c r="J405" s="39" t="s">
        <v>925</v>
      </c>
      <c r="K405" s="36">
        <v>156314</v>
      </c>
      <c r="L405" s="40">
        <v>120</v>
      </c>
      <c r="M405" s="40">
        <v>120</v>
      </c>
      <c r="N405" s="41">
        <v>44203</v>
      </c>
      <c r="O405" s="45"/>
      <c r="P405" s="45"/>
      <c r="Q405" s="176" t="e">
        <f>MONTH([1]!Tableau13[[#This Row],[Date début]])</f>
        <v>#REF!</v>
      </c>
      <c r="R405" s="180" t="e">
        <f>YEAR([1]!Tableau13[[#This Row],[Date début]])</f>
        <v>#REF!</v>
      </c>
    </row>
    <row r="406" spans="1:18" ht="30" customHeight="1">
      <c r="A406" s="35">
        <v>44173</v>
      </c>
      <c r="B406" s="36">
        <v>435</v>
      </c>
      <c r="C406" s="37" t="str">
        <f>IF(ISNA(VLOOKUP(Tableau13[[#This Row],[Code]],'Code Véhicule'!$A$4:$C$185,2,0)),"",VLOOKUP(Tableau13[[#This Row],[Code]],'Code Véhicule'!$A$4:$C$185,2,0))</f>
        <v>Camion</v>
      </c>
      <c r="D406" s="38" t="str">
        <f>IF(ISNA(VLOOKUP(Tableau13[[#This Row],[Code]],'Code Véhicule'!$A$4:$C$185,3,0)),"",VLOOKUP(Tableau13[[#This Row],[Code]],'Code Véhicule'!$A$4:$C$185,3,0))</f>
        <v>Mitsubishi</v>
      </c>
      <c r="E406" s="36" t="str">
        <f>IF(ISNA(VLOOKUP(Tableau13[[#This Row],[Code]],'Code Véhicule'!$A$4:$D$185,4,0))," ",VLOOKUP(Tableau13[[#This Row],[Code]],'Code Véhicule'!$A$4:$D$185,4,0))</f>
        <v xml:space="preserve"> 11469-A-73</v>
      </c>
      <c r="F406" s="36">
        <v>23976</v>
      </c>
      <c r="G406" s="38" t="s">
        <v>393</v>
      </c>
      <c r="H406" s="38" t="s">
        <v>608</v>
      </c>
      <c r="I406" s="36" t="s">
        <v>504</v>
      </c>
      <c r="J406" s="39" t="s">
        <v>920</v>
      </c>
      <c r="K406" s="36">
        <v>154748</v>
      </c>
      <c r="L406" s="40">
        <v>30</v>
      </c>
      <c r="M406" s="40">
        <v>30</v>
      </c>
      <c r="N406" s="41">
        <v>44173</v>
      </c>
      <c r="O406" s="45"/>
      <c r="P406" s="45"/>
      <c r="Q406" s="176" t="e">
        <f>MONTH([1]!Tableau13[[#This Row],[Date début]])</f>
        <v>#REF!</v>
      </c>
      <c r="R406" s="180" t="e">
        <f>YEAR([1]!Tableau13[[#This Row],[Date début]])</f>
        <v>#REF!</v>
      </c>
    </row>
    <row r="407" spans="1:18" ht="15.75" customHeight="1">
      <c r="A407" s="35">
        <v>44174</v>
      </c>
      <c r="B407" s="36">
        <v>480</v>
      </c>
      <c r="C407" s="37" t="str">
        <f>IF(ISNA(VLOOKUP(Tableau13[[#This Row],[Code]],'Code Véhicule'!$A$4:$C$41,2,TRUE)),"",(VLOOKUP(Tableau13[[#This Row],[Code]],'Code Véhicule'!$A$4:$C$41,2,TRUE)))</f>
        <v>Camion</v>
      </c>
      <c r="D407" s="38" t="str">
        <f>IF(ISNA(VLOOKUP(Tableau13[[#This Row],[Code]],'Code Véhicule'!$A$4:$C$185,3,0)),"",VLOOKUP(Tableau13[[#This Row],[Code]],'Code Véhicule'!$A$4:$C$185,3,0))</f>
        <v>VOLVO</v>
      </c>
      <c r="E407" s="36" t="str">
        <f>IF(ISNA(VLOOKUP(Tableau13[[#This Row],[Code]],'Code Véhicule'!$A$4:$D$185,4,0))," ",VLOOKUP(Tableau13[[#This Row],[Code]],'Code Véhicule'!$A$4:$D$185,4,0))</f>
        <v>22299-A-73</v>
      </c>
      <c r="F407" s="36">
        <v>23518</v>
      </c>
      <c r="G407" s="38" t="s">
        <v>393</v>
      </c>
      <c r="H407" s="38" t="s">
        <v>613</v>
      </c>
      <c r="I407" s="36" t="s">
        <v>304</v>
      </c>
      <c r="J407" s="36" t="s">
        <v>521</v>
      </c>
      <c r="K407" s="36">
        <v>155801</v>
      </c>
      <c r="L407" s="40">
        <v>30</v>
      </c>
      <c r="M407" s="36">
        <v>30</v>
      </c>
      <c r="N407" s="41">
        <v>44174</v>
      </c>
      <c r="O407" s="38"/>
      <c r="P407" s="38"/>
      <c r="Q407" s="176" t="e">
        <f>MONTH([1]!Tableau13[[#This Row],[Date début]])</f>
        <v>#REF!</v>
      </c>
      <c r="R407" s="180" t="e">
        <f>YEAR([1]!Tableau13[[#This Row],[Date début]])</f>
        <v>#REF!</v>
      </c>
    </row>
    <row r="408" spans="1:18" ht="15.75" customHeight="1">
      <c r="A408" s="35">
        <v>44174</v>
      </c>
      <c r="B408" s="36">
        <v>480</v>
      </c>
      <c r="C408" s="37" t="str">
        <f>IF(ISNA(VLOOKUP(Tableau13[[#This Row],[Code]],'Code Véhicule'!$A$4:$C$185,2,0)),"",VLOOKUP(Tableau13[[#This Row],[Code]],'Code Véhicule'!$A$4:$C$185,2,0))</f>
        <v>Camion</v>
      </c>
      <c r="D408" s="38" t="str">
        <f>IF(ISNA(VLOOKUP(Tableau13[[#This Row],[Code]],'Code Véhicule'!$A$4:$C$185,3,0)),"",VLOOKUP(Tableau13[[#This Row],[Code]],'Code Véhicule'!$A$4:$C$185,3,0))</f>
        <v>VOLVO</v>
      </c>
      <c r="E408" s="36" t="str">
        <f>IF(ISNA(VLOOKUP(Tableau13[[#This Row],[Code]],'Code Véhicule'!$A$4:$D$185,4,0))," ",VLOOKUP(Tableau13[[#This Row],[Code]],'Code Véhicule'!$A$4:$D$185,4,0))</f>
        <v>22299-A-73</v>
      </c>
      <c r="F408" s="36">
        <v>23977</v>
      </c>
      <c r="G408" s="38" t="s">
        <v>493</v>
      </c>
      <c r="H408" s="38" t="s">
        <v>601</v>
      </c>
      <c r="I408" s="36" t="s">
        <v>304</v>
      </c>
      <c r="J408" s="39" t="s">
        <v>591</v>
      </c>
      <c r="K408" s="36">
        <v>154750</v>
      </c>
      <c r="L408" s="40">
        <v>570</v>
      </c>
      <c r="M408" s="40">
        <v>570</v>
      </c>
      <c r="N408" s="41">
        <v>44174</v>
      </c>
      <c r="O408" s="45"/>
      <c r="P408" s="45"/>
      <c r="Q408" s="176" t="e">
        <f>MONTH([1]!Tableau13[[#This Row],[Date début]])</f>
        <v>#REF!</v>
      </c>
      <c r="R408" s="180" t="e">
        <f>YEAR([1]!Tableau13[[#This Row],[Date début]])</f>
        <v>#REF!</v>
      </c>
    </row>
    <row r="409" spans="1:18" ht="30" customHeight="1">
      <c r="A409" s="35">
        <v>44175</v>
      </c>
      <c r="B409" s="36">
        <v>472</v>
      </c>
      <c r="C409" s="37" t="str">
        <f>IF(ISNA(VLOOKUP(Tableau13[[#This Row],[Code]],'Code Véhicule'!$A$4:$C$41,2,TRUE)),"",(VLOOKUP(Tableau13[[#This Row],[Code]],'Code Véhicule'!$A$4:$C$41,2,TRUE)))</f>
        <v>Chariot elevateur</v>
      </c>
      <c r="D409" s="38" t="str">
        <f>IF(ISNA(VLOOKUP(Tableau13[[#This Row],[Code]],'Code Véhicule'!$A$4:$C$185,3,0)),"",VLOOKUP(Tableau13[[#This Row],[Code]],'Code Véhicule'!$A$4:$C$185,3,0))</f>
        <v>Linde H25d</v>
      </c>
      <c r="E409" s="36" t="str">
        <f>IF(ISNA(VLOOKUP(Tableau13[[#This Row],[Code]],'Code Véhicule'!$A$4:$D$185,4,0))," ",VLOOKUP(Tableau13[[#This Row],[Code]],'Code Véhicule'!$A$4:$D$185,4,0))</f>
        <v>-</v>
      </c>
      <c r="F409" s="36">
        <v>23520</v>
      </c>
      <c r="G409" s="38" t="s">
        <v>697</v>
      </c>
      <c r="H409" s="38" t="s">
        <v>698</v>
      </c>
      <c r="I409" s="36" t="s">
        <v>304</v>
      </c>
      <c r="J409" s="36" t="s">
        <v>848</v>
      </c>
      <c r="K409" s="36">
        <v>155804</v>
      </c>
      <c r="L409" s="40">
        <v>180</v>
      </c>
      <c r="M409" s="36">
        <v>180</v>
      </c>
      <c r="N409" s="41">
        <v>44175</v>
      </c>
      <c r="O409" s="38"/>
      <c r="P409" s="38"/>
      <c r="Q409" s="176" t="e">
        <f>MONTH([1]!Tableau13[[#This Row],[Date début]])</f>
        <v>#REF!</v>
      </c>
      <c r="R409" s="180" t="e">
        <f>YEAR([1]!Tableau13[[#This Row],[Date début]])</f>
        <v>#REF!</v>
      </c>
    </row>
    <row r="410" spans="1:18" ht="210" customHeight="1">
      <c r="A410" s="35">
        <v>44175</v>
      </c>
      <c r="B410" s="36">
        <v>413</v>
      </c>
      <c r="C410" s="37" t="str">
        <f>IF(ISNA(VLOOKUP(Tableau13[[#This Row],[Code]],'Code Véhicule'!$A$4:$C$185,2,0)),"",VLOOKUP(Tableau13[[#This Row],[Code]],'Code Véhicule'!$A$4:$C$185,2,0))</f>
        <v>Chargeur</v>
      </c>
      <c r="D410" s="38" t="str">
        <f>IF(ISNA(VLOOKUP(Tableau13[[#This Row],[Code]],'Code Véhicule'!$A$4:$C$185,3,0)),"",VLOOKUP(Tableau13[[#This Row],[Code]],'Code Véhicule'!$A$4:$C$185,3,0))</f>
        <v>Caterpillar</v>
      </c>
      <c r="E410" s="36" t="str">
        <f>IF(ISNA(VLOOKUP(Tableau13[[#This Row],[Code]],'Code Véhicule'!$A$4:$D$185,4,0))," ",VLOOKUP(Tableau13[[#This Row],[Code]],'Code Véhicule'!$A$4:$D$185,4,0))</f>
        <v>-</v>
      </c>
      <c r="F410" s="36">
        <v>23536</v>
      </c>
      <c r="G410" s="38" t="s">
        <v>511</v>
      </c>
      <c r="H410" s="38" t="s">
        <v>657</v>
      </c>
      <c r="I410" s="36" t="s">
        <v>304</v>
      </c>
      <c r="J410" s="39" t="s">
        <v>869</v>
      </c>
      <c r="K410" s="36" t="s">
        <v>870</v>
      </c>
      <c r="L410" s="40">
        <v>5700</v>
      </c>
      <c r="M410" s="40">
        <v>14820</v>
      </c>
      <c r="N410" s="41">
        <v>44206</v>
      </c>
      <c r="O410" s="45"/>
      <c r="P410" s="45"/>
      <c r="Q410" s="176" t="e">
        <f>MONTH([1]!Tableau13[[#This Row],[Date début]])</f>
        <v>#REF!</v>
      </c>
      <c r="R410" s="180" t="e">
        <f>YEAR([1]!Tableau13[[#This Row],[Date début]])</f>
        <v>#REF!</v>
      </c>
    </row>
    <row r="411" spans="1:18" ht="60" customHeight="1">
      <c r="A411" s="35">
        <v>44176</v>
      </c>
      <c r="B411" s="36">
        <v>482</v>
      </c>
      <c r="C411" s="37" t="str">
        <f>IF(ISNA(VLOOKUP(Tableau13[[#This Row],[Code]],'Code Véhicule'!$A$4:$C$41,2,TRUE)),"",(VLOOKUP(Tableau13[[#This Row],[Code]],'Code Véhicule'!$A$4:$C$41,2,TRUE)))</f>
        <v>Pick up</v>
      </c>
      <c r="D411" s="38" t="str">
        <f>IF(ISNA(VLOOKUP(Tableau13[[#This Row],[Code]],'Code Véhicule'!$A$4:$C$185,3,0)),"",VLOOKUP(Tableau13[[#This Row],[Code]],'Code Véhicule'!$A$4:$C$185,3,0))</f>
        <v>HYUNDAI H100</v>
      </c>
      <c r="E411" s="36" t="str">
        <f>IF(ISNA(VLOOKUP(Tableau13[[#This Row],[Code]],'Code Véhicule'!$A$4:$D$185,4,0))," ",VLOOKUP(Tableau13[[#This Row],[Code]],'Code Véhicule'!$A$4:$D$185,4,0))</f>
        <v>22368-A-73</v>
      </c>
      <c r="F411" s="36">
        <v>23521</v>
      </c>
      <c r="G411" s="38" t="s">
        <v>545</v>
      </c>
      <c r="H411" s="38" t="s">
        <v>674</v>
      </c>
      <c r="I411" s="36" t="s">
        <v>304</v>
      </c>
      <c r="J411" s="36" t="s">
        <v>975</v>
      </c>
      <c r="K411" s="36">
        <v>155807</v>
      </c>
      <c r="L411" s="40">
        <v>60</v>
      </c>
      <c r="M411" s="36">
        <v>60</v>
      </c>
      <c r="N411" s="41">
        <v>44176</v>
      </c>
      <c r="O411" s="38"/>
      <c r="P411" s="38"/>
      <c r="Q411" s="176" t="e">
        <f>MONTH([1]!Tableau13[[#This Row],[Date début]])</f>
        <v>#REF!</v>
      </c>
      <c r="R411" s="180" t="e">
        <f>YEAR([1]!Tableau13[[#This Row],[Date début]])</f>
        <v>#REF!</v>
      </c>
    </row>
    <row r="412" spans="1:18" ht="15.75" customHeight="1">
      <c r="A412" s="35">
        <v>44176</v>
      </c>
      <c r="B412" s="36">
        <v>410</v>
      </c>
      <c r="C412" s="37" t="str">
        <f>IF(ISNA(VLOOKUP(Tableau13[[#This Row],[Code]],'Code Véhicule'!$A$4:$C$41,2,TRUE)),"",(VLOOKUP(Tableau13[[#This Row],[Code]],'Code Véhicule'!$A$4:$C$41,2,TRUE)))</f>
        <v>Semi remorque</v>
      </c>
      <c r="D412" s="38" t="str">
        <f>IF(ISNA(VLOOKUP(Tableau13[[#This Row],[Code]],'Code Véhicule'!$A$4:$C$185,3,0)),"",VLOOKUP(Tableau13[[#This Row],[Code]],'Code Véhicule'!$A$4:$C$185,3,0))</f>
        <v>MAN</v>
      </c>
      <c r="E412" s="36" t="str">
        <f>IF(ISNA(VLOOKUP(Tableau13[[#This Row],[Code]],'Code Véhicule'!$A$4:$D$185,4,0))," ",VLOOKUP(Tableau13[[#This Row],[Code]],'Code Véhicule'!$A$4:$D$185,4,0))</f>
        <v xml:space="preserve">28659-D-1 </v>
      </c>
      <c r="F412" s="36">
        <v>23522</v>
      </c>
      <c r="G412" s="38" t="s">
        <v>849</v>
      </c>
      <c r="H412" s="38" t="s">
        <v>850</v>
      </c>
      <c r="I412" s="36" t="s">
        <v>304</v>
      </c>
      <c r="J412" s="36" t="s">
        <v>851</v>
      </c>
      <c r="K412" s="36">
        <v>155808</v>
      </c>
      <c r="L412" s="40">
        <v>120</v>
      </c>
      <c r="M412" s="36">
        <v>120</v>
      </c>
      <c r="N412" s="41">
        <v>44176</v>
      </c>
      <c r="O412" s="38"/>
      <c r="P412" s="38"/>
      <c r="Q412" s="176" t="e">
        <f>MONTH([1]!Tableau13[[#This Row],[Date début]])</f>
        <v>#REF!</v>
      </c>
      <c r="R412" s="180" t="e">
        <f>YEAR([1]!Tableau13[[#This Row],[Date début]])</f>
        <v>#REF!</v>
      </c>
    </row>
    <row r="413" spans="1:18" ht="30" customHeight="1">
      <c r="A413" s="35">
        <v>44177</v>
      </c>
      <c r="B413" s="36">
        <v>434</v>
      </c>
      <c r="C413" s="37" t="str">
        <f>IF(ISNA(VLOOKUP(Tableau13[[#This Row],[Code]],'Code Véhicule'!$A$4:$C$41,2,TRUE)),"",(VLOOKUP(Tableau13[[#This Row],[Code]],'Code Véhicule'!$A$4:$C$41,2,TRUE)))</f>
        <v>Chariot elevateur</v>
      </c>
      <c r="D413" s="38" t="str">
        <f>IF(ISNA(VLOOKUP(Tableau13[[#This Row],[Code]],'Code Véhicule'!$A$4:$C$185,3,0)),"",VLOOKUP(Tableau13[[#This Row],[Code]],'Code Véhicule'!$A$4:$C$185,3,0))</f>
        <v>Linde H30D</v>
      </c>
      <c r="E413" s="36" t="str">
        <f>IF(ISNA(VLOOKUP(Tableau13[[#This Row],[Code]],'Code Véhicule'!$A$4:$D$185,4,0))," ",VLOOKUP(Tableau13[[#This Row],[Code]],'Code Véhicule'!$A$4:$D$185,4,0))</f>
        <v>-</v>
      </c>
      <c r="F413" s="36">
        <v>23524</v>
      </c>
      <c r="G413" s="38" t="s">
        <v>511</v>
      </c>
      <c r="H413" s="38" t="s">
        <v>853</v>
      </c>
      <c r="I413" s="36" t="s">
        <v>304</v>
      </c>
      <c r="J413" s="36" t="s">
        <v>854</v>
      </c>
      <c r="K413" s="36">
        <v>155813</v>
      </c>
      <c r="L413" s="40">
        <v>120</v>
      </c>
      <c r="M413" s="36">
        <v>120</v>
      </c>
      <c r="N413" s="41">
        <v>44177</v>
      </c>
      <c r="O413" s="38"/>
      <c r="P413" s="38"/>
      <c r="Q413" s="176" t="e">
        <f>MONTH([1]!Tableau13[[#This Row],[Date début]])</f>
        <v>#REF!</v>
      </c>
      <c r="R413" s="180" t="e">
        <f>YEAR([1]!Tableau13[[#This Row],[Date début]])</f>
        <v>#REF!</v>
      </c>
    </row>
    <row r="414" spans="1:18" ht="15.75" customHeight="1">
      <c r="A414" s="35">
        <v>44177</v>
      </c>
      <c r="B414" s="36">
        <v>411</v>
      </c>
      <c r="C414" s="37" t="str">
        <f>IF(ISNA(VLOOKUP(Tableau13[[#This Row],[Code]],'Code Véhicule'!$A$4:$C$41,2,TRUE)),"",(VLOOKUP(Tableau13[[#This Row],[Code]],'Code Véhicule'!$A$4:$C$41,2,TRUE)))</f>
        <v>Camion</v>
      </c>
      <c r="D414" s="38" t="str">
        <f>IF(ISNA(VLOOKUP(Tableau13[[#This Row],[Code]],'Code Véhicule'!$A$4:$C$185,3,0)),"",VLOOKUP(Tableau13[[#This Row],[Code]],'Code Véhicule'!$A$4:$C$185,3,0))</f>
        <v>Renault</v>
      </c>
      <c r="E414" s="36" t="str">
        <f>IF(ISNA(VLOOKUP(Tableau13[[#This Row],[Code]],'Code Véhicule'!$A$4:$D$185,4,0))," ",VLOOKUP(Tableau13[[#This Row],[Code]],'Code Véhicule'!$A$4:$D$185,4,0))</f>
        <v>25636-A-13</v>
      </c>
      <c r="F414" s="36">
        <v>23525</v>
      </c>
      <c r="G414" s="38" t="s">
        <v>560</v>
      </c>
      <c r="H414" s="38" t="s">
        <v>604</v>
      </c>
      <c r="I414" s="36" t="s">
        <v>304</v>
      </c>
      <c r="J414" s="36" t="s">
        <v>372</v>
      </c>
      <c r="K414" s="36">
        <v>155814</v>
      </c>
      <c r="L414" s="40">
        <v>30</v>
      </c>
      <c r="M414" s="36">
        <v>30</v>
      </c>
      <c r="N414" s="41">
        <v>44177</v>
      </c>
      <c r="O414" s="38"/>
      <c r="P414" s="38"/>
      <c r="Q414" s="176" t="e">
        <f>MONTH([1]!Tableau13[[#This Row],[Date début]])</f>
        <v>#REF!</v>
      </c>
      <c r="R414" s="180" t="e">
        <f>YEAR([1]!Tableau13[[#This Row],[Date début]])</f>
        <v>#REF!</v>
      </c>
    </row>
    <row r="415" spans="1:18" ht="90" customHeight="1">
      <c r="A415" s="35">
        <v>44177</v>
      </c>
      <c r="B415" s="36">
        <v>431</v>
      </c>
      <c r="C415" s="37" t="str">
        <f>IF(ISNA(VLOOKUP(Tableau13[[#This Row],[Code]],'Code Véhicule'!$A$4:$C$185,2,0)),"",VLOOKUP(Tableau13[[#This Row],[Code]],'Code Véhicule'!$A$4:$C$185,2,0))</f>
        <v>Chariot elevateur</v>
      </c>
      <c r="D415" s="38" t="str">
        <f>IF(ISNA(VLOOKUP(Tableau13[[#This Row],[Code]],'Code Véhicule'!$A$4:$C$185,3,0)),"",VLOOKUP(Tableau13[[#This Row],[Code]],'Code Véhicule'!$A$4:$C$185,3,0))</f>
        <v>Manitou M26-2</v>
      </c>
      <c r="E415" s="36" t="str">
        <f>IF(ISNA(VLOOKUP(Tableau13[[#This Row],[Code]],'Code Véhicule'!$A$4:$D$185,4,0))," ",VLOOKUP(Tableau13[[#This Row],[Code]],'Code Véhicule'!$A$4:$D$185,4,0))</f>
        <v>-</v>
      </c>
      <c r="F415" s="36">
        <v>23544</v>
      </c>
      <c r="G415" s="38" t="s">
        <v>843</v>
      </c>
      <c r="H415" s="38" t="s">
        <v>729</v>
      </c>
      <c r="I415" s="36" t="s">
        <v>304</v>
      </c>
      <c r="J415" s="39" t="s">
        <v>878</v>
      </c>
      <c r="K415" s="36" t="s">
        <v>879</v>
      </c>
      <c r="L415" s="40">
        <v>3420</v>
      </c>
      <c r="M415" s="40">
        <v>9120</v>
      </c>
      <c r="N415" s="41">
        <v>44195</v>
      </c>
      <c r="O415" s="45"/>
      <c r="P415" s="45"/>
      <c r="Q415" s="176" t="e">
        <f>MONTH([1]!Tableau13[[#This Row],[Date début]])</f>
        <v>#REF!</v>
      </c>
      <c r="R415" s="180" t="e">
        <f>YEAR([1]!Tableau13[[#This Row],[Date début]])</f>
        <v>#REF!</v>
      </c>
    </row>
    <row r="416" spans="1:18" ht="15.75" customHeight="1">
      <c r="A416" s="35">
        <v>44179</v>
      </c>
      <c r="B416" s="36">
        <v>436</v>
      </c>
      <c r="C416" s="37" t="str">
        <f>IF(ISNA(VLOOKUP(Tableau13[[#This Row],[Code]],'Code Véhicule'!$A$4:$C$41,2,TRUE)),"",(VLOOKUP(Tableau13[[#This Row],[Code]],'Code Véhicule'!$A$4:$C$41,2,TRUE)))</f>
        <v>Camion</v>
      </c>
      <c r="D416" s="38" t="str">
        <f>IF(ISNA(VLOOKUP(Tableau13[[#This Row],[Code]],'Code Véhicule'!$A$4:$C$185,3,0)),"",VLOOKUP(Tableau13[[#This Row],[Code]],'Code Véhicule'!$A$4:$C$185,3,0))</f>
        <v>Mitsubishi</v>
      </c>
      <c r="E416" s="36" t="str">
        <f>IF(ISNA(VLOOKUP(Tableau13[[#This Row],[Code]],'Code Véhicule'!$A$4:$D$185,4,0))," ",VLOOKUP(Tableau13[[#This Row],[Code]],'Code Véhicule'!$A$4:$D$185,4,0))</f>
        <v>11470-A-73</v>
      </c>
      <c r="F416" s="36">
        <v>23526</v>
      </c>
      <c r="G416" s="38" t="s">
        <v>353</v>
      </c>
      <c r="H416" s="38" t="s">
        <v>837</v>
      </c>
      <c r="I416" s="36" t="s">
        <v>304</v>
      </c>
      <c r="J416" s="36" t="s">
        <v>855</v>
      </c>
      <c r="K416" s="36">
        <v>155816</v>
      </c>
      <c r="L416" s="40">
        <v>60</v>
      </c>
      <c r="M416" s="36">
        <v>60</v>
      </c>
      <c r="N416" s="41">
        <v>44179</v>
      </c>
      <c r="O416" s="38"/>
      <c r="P416" s="38"/>
      <c r="Q416" s="176" t="e">
        <f>MONTH([1]!Tableau13[[#This Row],[Date début]])</f>
        <v>#REF!</v>
      </c>
      <c r="R416" s="180" t="e">
        <f>YEAR([1]!Tableau13[[#This Row],[Date début]])</f>
        <v>#REF!</v>
      </c>
    </row>
    <row r="417" spans="1:18" ht="30" customHeight="1">
      <c r="A417" s="35">
        <v>44179</v>
      </c>
      <c r="B417" s="36">
        <v>407</v>
      </c>
      <c r="C417" s="37" t="str">
        <f>IF(ISNA(VLOOKUP(Tableau13[[#This Row],[Code]],'Code Véhicule'!$A$4:$C$41,2,TRUE)),"",(VLOOKUP(Tableau13[[#This Row],[Code]],'Code Véhicule'!$A$4:$C$41,2,TRUE)))</f>
        <v>Semi remorque</v>
      </c>
      <c r="D417" s="38" t="str">
        <f>IF(ISNA(VLOOKUP(Tableau13[[#This Row],[Code]],'Code Véhicule'!$A$4:$C$185,3,0)),"",VLOOKUP(Tableau13[[#This Row],[Code]],'Code Véhicule'!$A$4:$C$185,3,0))</f>
        <v>MAN</v>
      </c>
      <c r="E417" s="36" t="str">
        <f>IF(ISNA(VLOOKUP(Tableau13[[#This Row],[Code]],'Code Véhicule'!$A$4:$D$185,4,0))," ",VLOOKUP(Tableau13[[#This Row],[Code]],'Code Véhicule'!$A$4:$D$185,4,0))</f>
        <v>706-A-73</v>
      </c>
      <c r="F417" s="36">
        <v>23527</v>
      </c>
      <c r="G417" s="38" t="s">
        <v>393</v>
      </c>
      <c r="H417" s="38" t="s">
        <v>856</v>
      </c>
      <c r="I417" s="36" t="s">
        <v>304</v>
      </c>
      <c r="J417" s="36" t="s">
        <v>857</v>
      </c>
      <c r="K417" s="36">
        <v>155817</v>
      </c>
      <c r="L417" s="40">
        <v>60</v>
      </c>
      <c r="M417" s="36">
        <v>60</v>
      </c>
      <c r="N417" s="41">
        <v>44179</v>
      </c>
      <c r="O417" s="38"/>
      <c r="P417" s="38"/>
      <c r="Q417" s="176" t="e">
        <f>MONTH([1]!Tableau13[[#This Row],[Date début]])</f>
        <v>#REF!</v>
      </c>
      <c r="R417" s="180" t="e">
        <f>YEAR([1]!Tableau13[[#This Row],[Date début]])</f>
        <v>#REF!</v>
      </c>
    </row>
    <row r="418" spans="1:18" ht="15.75" customHeight="1">
      <c r="A418" s="35">
        <v>44179</v>
      </c>
      <c r="B418" s="36">
        <v>414</v>
      </c>
      <c r="C418" s="37" t="str">
        <f>IF(ISNA(VLOOKUP(Tableau13[[#This Row],[Code]],'Code Véhicule'!$A$4:$C$41,2,TRUE)),"",(VLOOKUP(Tableau13[[#This Row],[Code]],'Code Véhicule'!$A$4:$C$41,2,TRUE)))</f>
        <v>Balayeuse</v>
      </c>
      <c r="D418" s="38" t="str">
        <f>IF(ISNA(VLOOKUP(Tableau13[[#This Row],[Code]],'Code Véhicule'!$A$4:$C$185,3,0)),"",VLOOKUP(Tableau13[[#This Row],[Code]],'Code Véhicule'!$A$4:$C$185,3,0))</f>
        <v>Bobcat</v>
      </c>
      <c r="E418" s="36" t="str">
        <f>IF(ISNA(VLOOKUP(Tableau13[[#This Row],[Code]],'Code Véhicule'!$A$4:$D$185,4,0))," ",VLOOKUP(Tableau13[[#This Row],[Code]],'Code Véhicule'!$A$4:$D$185,4,0))</f>
        <v>-</v>
      </c>
      <c r="F418" s="36">
        <v>23528</v>
      </c>
      <c r="G418" s="38" t="s">
        <v>537</v>
      </c>
      <c r="H418" s="38" t="s">
        <v>858</v>
      </c>
      <c r="I418" s="36" t="s">
        <v>304</v>
      </c>
      <c r="J418" s="36" t="s">
        <v>859</v>
      </c>
      <c r="K418" s="36">
        <v>155818</v>
      </c>
      <c r="L418" s="40">
        <v>180</v>
      </c>
      <c r="M418" s="36">
        <v>180</v>
      </c>
      <c r="N418" s="41">
        <v>44179</v>
      </c>
      <c r="O418" s="38"/>
      <c r="P418" s="38"/>
      <c r="Q418" s="176" t="e">
        <f>MONTH([1]!Tableau13[[#This Row],[Date début]])</f>
        <v>#REF!</v>
      </c>
      <c r="R418" s="180" t="e">
        <f>YEAR([1]!Tableau13[[#This Row],[Date début]])</f>
        <v>#REF!</v>
      </c>
    </row>
    <row r="419" spans="1:18" ht="15.75" customHeight="1">
      <c r="A419" s="35">
        <v>44179</v>
      </c>
      <c r="B419" s="36">
        <v>438</v>
      </c>
      <c r="C419" s="37" t="str">
        <f>IF(ISNA(VLOOKUP(Tableau13[[#This Row],[Code]],'Code Véhicule'!$A$4:$C$41,2,TRUE)),"",(VLOOKUP(Tableau13[[#This Row],[Code]],'Code Véhicule'!$A$4:$C$41,2,TRUE)))</f>
        <v>Semi remorque</v>
      </c>
      <c r="D419" s="38" t="str">
        <f>IF(ISNA(VLOOKUP(Tableau13[[#This Row],[Code]],'Code Véhicule'!$A$4:$C$185,3,0)),"",VLOOKUP(Tableau13[[#This Row],[Code]],'Code Véhicule'!$A$4:$C$185,3,0))</f>
        <v>VOLVO</v>
      </c>
      <c r="E419" s="36" t="str">
        <f>IF(ISNA(VLOOKUP(Tableau13[[#This Row],[Code]],'Code Véhicule'!$A$4:$D$185,4,0))," ",VLOOKUP(Tableau13[[#This Row],[Code]],'Code Véhicule'!$A$4:$D$185,4,0))</f>
        <v xml:space="preserve">17885-A-73 </v>
      </c>
      <c r="F419" s="36">
        <v>23529</v>
      </c>
      <c r="G419" s="38" t="s">
        <v>560</v>
      </c>
      <c r="H419" s="38" t="s">
        <v>604</v>
      </c>
      <c r="I419" s="36" t="s">
        <v>304</v>
      </c>
      <c r="J419" s="36" t="s">
        <v>372</v>
      </c>
      <c r="K419" s="36">
        <v>155821</v>
      </c>
      <c r="L419" s="40">
        <v>120</v>
      </c>
      <c r="M419" s="36">
        <v>120</v>
      </c>
      <c r="N419" s="41">
        <v>44179</v>
      </c>
      <c r="O419" s="38"/>
      <c r="P419" s="38"/>
      <c r="Q419" s="176" t="e">
        <f>MONTH([1]!Tableau13[[#This Row],[Date début]])</f>
        <v>#REF!</v>
      </c>
      <c r="R419" s="180" t="e">
        <f>YEAR([1]!Tableau13[[#This Row],[Date début]])</f>
        <v>#REF!</v>
      </c>
    </row>
    <row r="420" spans="1:18" ht="60" customHeight="1">
      <c r="A420" s="35">
        <v>44180</v>
      </c>
      <c r="B420" s="36">
        <v>411</v>
      </c>
      <c r="C420" s="37" t="str">
        <f>IF(ISNA(VLOOKUP(Tableau13[[#This Row],[Code]],'Code Véhicule'!$A$4:$C$185,2,0)),"",VLOOKUP(Tableau13[[#This Row],[Code]],'Code Véhicule'!$A$4:$C$185,2,0))</f>
        <v>Camion</v>
      </c>
      <c r="D420" s="38" t="str">
        <f>IF(ISNA(VLOOKUP(Tableau13[[#This Row],[Code]],'Code Véhicule'!$A$4:$C$185,3,0)),"",VLOOKUP(Tableau13[[#This Row],[Code]],'Code Véhicule'!$A$4:$C$185,3,0))</f>
        <v>Renault</v>
      </c>
      <c r="E420" s="36" t="str">
        <f>IF(ISNA(VLOOKUP(Tableau13[[#This Row],[Code]],'Code Véhicule'!$A$4:$D$185,4,0))," ",VLOOKUP(Tableau13[[#This Row],[Code]],'Code Véhicule'!$A$4:$D$185,4,0))</f>
        <v>25636-A-13</v>
      </c>
      <c r="F420" s="36">
        <v>23530</v>
      </c>
      <c r="G420" s="38" t="s">
        <v>393</v>
      </c>
      <c r="H420" s="38" t="s">
        <v>608</v>
      </c>
      <c r="I420" s="36" t="s">
        <v>304</v>
      </c>
      <c r="J420" s="36" t="s">
        <v>860</v>
      </c>
      <c r="K420" s="36">
        <v>155823</v>
      </c>
      <c r="L420" s="40">
        <v>570</v>
      </c>
      <c r="M420" s="40">
        <v>570</v>
      </c>
      <c r="N420" s="41">
        <v>44180</v>
      </c>
      <c r="O420" s="45"/>
      <c r="P420" s="45"/>
      <c r="Q420" s="176" t="e">
        <f>MONTH([1]!Tableau13[[#This Row],[Date début]])</f>
        <v>#REF!</v>
      </c>
      <c r="R420" s="180" t="e">
        <f>YEAR([1]!Tableau13[[#This Row],[Date début]])</f>
        <v>#REF!</v>
      </c>
    </row>
    <row r="421" spans="1:18" ht="15.75" customHeight="1">
      <c r="A421" s="35">
        <v>44180</v>
      </c>
      <c r="B421" s="36">
        <v>401</v>
      </c>
      <c r="C421" s="37" t="str">
        <f>IF(ISNA(VLOOKUP(Tableau13[[#This Row],[Code]],'Code Véhicule'!$A$4:$C$185,2,0)),"",VLOOKUP(Tableau13[[#This Row],[Code]],'Code Véhicule'!$A$4:$C$185,2,0))</f>
        <v>Camion</v>
      </c>
      <c r="D421" s="38" t="str">
        <f>IF(ISNA(VLOOKUP(Tableau13[[#This Row],[Code]],'Code Véhicule'!$A$4:$C$185,3,0)),"",VLOOKUP(Tableau13[[#This Row],[Code]],'Code Véhicule'!$A$4:$C$185,3,0))</f>
        <v>ISUZU</v>
      </c>
      <c r="E421" s="36" t="str">
        <f>IF(ISNA(VLOOKUP(Tableau13[[#This Row],[Code]],'Code Véhicule'!$A$4:$D$185,4,0))," ",VLOOKUP(Tableau13[[#This Row],[Code]],'Code Véhicule'!$A$4:$D$185,4,0))</f>
        <v>26128-A-8</v>
      </c>
      <c r="F421" s="36">
        <v>23531</v>
      </c>
      <c r="G421" s="38" t="s">
        <v>353</v>
      </c>
      <c r="H421" s="38" t="s">
        <v>729</v>
      </c>
      <c r="I421" s="36" t="s">
        <v>304</v>
      </c>
      <c r="J421" s="90" t="s">
        <v>861</v>
      </c>
      <c r="K421" s="36">
        <v>155824</v>
      </c>
      <c r="L421" s="40">
        <v>120</v>
      </c>
      <c r="M421" s="40">
        <v>120</v>
      </c>
      <c r="N421" s="41">
        <v>44180</v>
      </c>
      <c r="O421" s="45"/>
      <c r="P421" s="45"/>
      <c r="Q421" s="176" t="e">
        <f>MONTH([1]!Tableau13[[#This Row],[Date début]])</f>
        <v>#REF!</v>
      </c>
      <c r="R421" s="180" t="e">
        <f>YEAR([1]!Tableau13[[#This Row],[Date début]])</f>
        <v>#REF!</v>
      </c>
    </row>
    <row r="422" spans="1:18" ht="90" customHeight="1">
      <c r="A422" s="35">
        <v>44180</v>
      </c>
      <c r="B422" s="36">
        <v>432</v>
      </c>
      <c r="C422" s="37" t="str">
        <f>IF(ISNA(VLOOKUP(Tableau13[[#This Row],[Code]],'Code Véhicule'!$A$4:$C$185,2,0)),"",VLOOKUP(Tableau13[[#This Row],[Code]],'Code Véhicule'!$A$4:$C$185,2,0))</f>
        <v>Voiture de fonction</v>
      </c>
      <c r="D422" s="38" t="str">
        <f>IF(ISNA(VLOOKUP(Tableau13[[#This Row],[Code]],'Code Véhicule'!$A$4:$C$185,3,0)),"",VLOOKUP(Tableau13[[#This Row],[Code]],'Code Véhicule'!$A$4:$C$185,3,0))</f>
        <v>Berlingo</v>
      </c>
      <c r="E422" s="36" t="str">
        <f>IF(ISNA(VLOOKUP(Tableau13[[#This Row],[Code]],'Code Véhicule'!$A$4:$D$185,4,0))," ",VLOOKUP(Tableau13[[#This Row],[Code]],'Code Véhicule'!$A$4:$D$185,4,0))</f>
        <v xml:space="preserve"> 9660 -A-73</v>
      </c>
      <c r="F422" s="36">
        <v>23537</v>
      </c>
      <c r="G422" s="38" t="s">
        <v>455</v>
      </c>
      <c r="H422" s="38" t="s">
        <v>871</v>
      </c>
      <c r="I422" s="36" t="s">
        <v>304</v>
      </c>
      <c r="J422" s="39" t="s">
        <v>973</v>
      </c>
      <c r="K422" s="36" t="s">
        <v>872</v>
      </c>
      <c r="L422" s="40">
        <v>3420</v>
      </c>
      <c r="M422" s="40">
        <v>5700</v>
      </c>
      <c r="N422" s="41">
        <v>44190</v>
      </c>
      <c r="O422" s="45"/>
      <c r="P422" s="45"/>
      <c r="Q422" s="176" t="e">
        <f>MONTH([1]!Tableau13[[#This Row],[Date début]])</f>
        <v>#REF!</v>
      </c>
      <c r="R422" s="180" t="e">
        <f>YEAR([1]!Tableau13[[#This Row],[Date début]])</f>
        <v>#REF!</v>
      </c>
    </row>
    <row r="423" spans="1:18" ht="45" customHeight="1">
      <c r="A423" s="35">
        <v>44180</v>
      </c>
      <c r="B423" s="36">
        <v>409</v>
      </c>
      <c r="C423" s="37" t="str">
        <f>IF(ISNA(VLOOKUP(Tableau13[[#This Row],[Code]],'Code Véhicule'!$A$4:$C$185,2,0)),"",VLOOKUP(Tableau13[[#This Row],[Code]],'Code Véhicule'!$A$4:$C$185,2,0))</f>
        <v>Camion</v>
      </c>
      <c r="D423" s="38" t="str">
        <f>IF(ISNA(VLOOKUP(Tableau13[[#This Row],[Code]],'Code Véhicule'!$A$4:$C$185,3,0)),"",VLOOKUP(Tableau13[[#This Row],[Code]],'Code Véhicule'!$A$4:$C$185,3,0))</f>
        <v>Mitsubishi</v>
      </c>
      <c r="E423" s="36" t="str">
        <f>IF(ISNA(VLOOKUP(Tableau13[[#This Row],[Code]],'Code Véhicule'!$A$4:$D$185,4,0))," ",VLOOKUP(Tableau13[[#This Row],[Code]],'Code Véhicule'!$A$4:$D$185,4,0))</f>
        <v xml:space="preserve">4969-A-73 </v>
      </c>
      <c r="F423" s="36">
        <v>23838</v>
      </c>
      <c r="G423" s="38" t="s">
        <v>393</v>
      </c>
      <c r="H423" s="38" t="s">
        <v>608</v>
      </c>
      <c r="I423" s="36" t="s">
        <v>302</v>
      </c>
      <c r="J423" s="39" t="s">
        <v>873</v>
      </c>
      <c r="K423" s="36">
        <v>148839</v>
      </c>
      <c r="L423" s="40">
        <v>120</v>
      </c>
      <c r="M423" s="40">
        <v>120</v>
      </c>
      <c r="N423" s="41">
        <v>44180</v>
      </c>
      <c r="O423" s="45"/>
      <c r="P423" s="45"/>
      <c r="Q423" s="176" t="e">
        <f>MONTH([1]!Tableau13[[#This Row],[Date début]])</f>
        <v>#REF!</v>
      </c>
      <c r="R423" s="180" t="e">
        <f>YEAR([1]!Tableau13[[#This Row],[Date début]])</f>
        <v>#REF!</v>
      </c>
    </row>
    <row r="424" spans="1:18" ht="75">
      <c r="A424" s="35">
        <v>44181</v>
      </c>
      <c r="B424" s="36">
        <v>471</v>
      </c>
      <c r="C424" s="37" t="str">
        <f>IF(ISNA(VLOOKUP(Tableau13[[#This Row],[Code]],'Code Véhicule'!$A$4:$C$185,2,0)),"",VLOOKUP(Tableau13[[#This Row],[Code]],'Code Véhicule'!$A$4:$C$185,2,0))</f>
        <v>Bus de transport</v>
      </c>
      <c r="D424" s="38" t="str">
        <f>IF(ISNA(VLOOKUP(Tableau13[[#This Row],[Code]],'Code Véhicule'!$A$4:$C$185,3,0)),"",VLOOKUP(Tableau13[[#This Row],[Code]],'Code Véhicule'!$A$4:$C$185,3,0))</f>
        <v xml:space="preserve">Hyundai County </v>
      </c>
      <c r="E424" s="36" t="str">
        <f>IF(ISNA(VLOOKUP(Tableau13[[#This Row],[Code]],'Code Véhicule'!$A$4:$D$185,4,0))," ",VLOOKUP(Tableau13[[#This Row],[Code]],'Code Véhicule'!$A$4:$D$185,4,0))</f>
        <v>18516-A-73</v>
      </c>
      <c r="F424" s="36">
        <v>23978</v>
      </c>
      <c r="G424" s="38" t="s">
        <v>620</v>
      </c>
      <c r="H424" s="38" t="s">
        <v>921</v>
      </c>
      <c r="I424" s="36" t="s">
        <v>304</v>
      </c>
      <c r="J424" s="39" t="s">
        <v>922</v>
      </c>
      <c r="K424" s="36" t="s">
        <v>923</v>
      </c>
      <c r="L424" s="40">
        <v>5700</v>
      </c>
      <c r="M424" s="40">
        <v>5700</v>
      </c>
      <c r="N424" s="41">
        <v>44195</v>
      </c>
      <c r="O424" s="45"/>
      <c r="P424" s="45"/>
      <c r="Q424" s="176" t="e">
        <f>MONTH([1]!Tableau13[[#This Row],[Date début]])</f>
        <v>#REF!</v>
      </c>
      <c r="R424" s="180" t="e">
        <f>YEAR([1]!Tableau13[[#This Row],[Date début]])</f>
        <v>#REF!</v>
      </c>
    </row>
    <row r="425" spans="1:18" ht="60" customHeight="1">
      <c r="A425" s="35">
        <v>44182</v>
      </c>
      <c r="B425" s="36">
        <v>436</v>
      </c>
      <c r="C425" s="37" t="str">
        <f>IF(ISNA(VLOOKUP(Tableau13[[#This Row],[Code]],'Code Véhicule'!$A$4:$C$185,2,0)),"",VLOOKUP(Tableau13[[#This Row],[Code]],'Code Véhicule'!$A$4:$C$185,2,0))</f>
        <v>Camion</v>
      </c>
      <c r="D425" s="38" t="str">
        <f>IF(ISNA(VLOOKUP(Tableau13[[#This Row],[Code]],'Code Véhicule'!$A$4:$C$185,3,0)),"",VLOOKUP(Tableau13[[#This Row],[Code]],'Code Véhicule'!$A$4:$C$185,3,0))</f>
        <v>Mitsubishi</v>
      </c>
      <c r="E425" s="36" t="str">
        <f>IF(ISNA(VLOOKUP(Tableau13[[#This Row],[Code]],'Code Véhicule'!$A$4:$D$185,4,0))," ",VLOOKUP(Tableau13[[#This Row],[Code]],'Code Véhicule'!$A$4:$D$185,4,0))</f>
        <v>11470-A-73</v>
      </c>
      <c r="F425" s="36">
        <v>23533</v>
      </c>
      <c r="G425" s="38" t="s">
        <v>393</v>
      </c>
      <c r="H425" s="38" t="s">
        <v>608</v>
      </c>
      <c r="I425" s="36" t="s">
        <v>302</v>
      </c>
      <c r="J425" s="39" t="s">
        <v>974</v>
      </c>
      <c r="K425" s="36">
        <v>155931</v>
      </c>
      <c r="L425" s="40">
        <v>120</v>
      </c>
      <c r="M425" s="40">
        <v>120</v>
      </c>
      <c r="N425" s="41">
        <v>44182</v>
      </c>
      <c r="O425" s="45"/>
      <c r="P425" s="45"/>
      <c r="Q425" s="176" t="e">
        <f>MONTH([1]!Tableau13[[#This Row],[Date début]])</f>
        <v>#REF!</v>
      </c>
      <c r="R425" s="180" t="e">
        <f>YEAR([1]!Tableau13[[#This Row],[Date début]])</f>
        <v>#REF!</v>
      </c>
    </row>
    <row r="426" spans="1:18" ht="15.75" customHeight="1">
      <c r="A426" s="35">
        <v>44183</v>
      </c>
      <c r="B426" s="36"/>
      <c r="C426" s="37" t="str">
        <f>IF(ISNA(VLOOKUP(Tableau13[[#This Row],[Code]],'Code Véhicule'!$A$4:$C$185,2,0)),"",VLOOKUP(Tableau13[[#This Row],[Code]],'Code Véhicule'!$A$4:$C$185,2,0))</f>
        <v/>
      </c>
      <c r="D426" s="38" t="str">
        <f>IF(ISNA(VLOOKUP(Tableau13[[#This Row],[Code]],'Code Véhicule'!$A$4:$C$185,3,0)),"",VLOOKUP(Tableau13[[#This Row],[Code]],'Code Véhicule'!$A$4:$C$185,3,0))</f>
        <v/>
      </c>
      <c r="E426" s="36" t="str">
        <f>IF(ISNA(VLOOKUP(Tableau13[[#This Row],[Code]],'Code Véhicule'!$A$4:$D$185,4,0))," ",VLOOKUP(Tableau13[[#This Row],[Code]],'Code Véhicule'!$A$4:$D$185,4,0))</f>
        <v xml:space="preserve"> </v>
      </c>
      <c r="F426" s="36">
        <v>23532</v>
      </c>
      <c r="G426" s="38" t="s">
        <v>597</v>
      </c>
      <c r="H426" s="38" t="s">
        <v>865</v>
      </c>
      <c r="I426" s="36" t="s">
        <v>304</v>
      </c>
      <c r="J426" s="39" t="s">
        <v>866</v>
      </c>
      <c r="K426" s="36">
        <v>155833</v>
      </c>
      <c r="L426" s="40">
        <v>30</v>
      </c>
      <c r="M426" s="40">
        <v>30</v>
      </c>
      <c r="N426" s="41">
        <v>44183</v>
      </c>
      <c r="O426" s="45"/>
      <c r="P426" s="45"/>
      <c r="Q426" s="176" t="e">
        <f>MONTH([1]!Tableau13[[#This Row],[Date début]])</f>
        <v>#REF!</v>
      </c>
      <c r="R426" s="180" t="e">
        <f>YEAR([1]!Tableau13[[#This Row],[Date début]])</f>
        <v>#REF!</v>
      </c>
    </row>
    <row r="427" spans="1:18" ht="60" customHeight="1">
      <c r="A427" s="35">
        <v>44183</v>
      </c>
      <c r="B427" s="36">
        <v>472</v>
      </c>
      <c r="C427" s="37" t="str">
        <f>IF(ISNA(VLOOKUP(Tableau13[[#This Row],[Code]],'Code Véhicule'!$A$4:$C$185,2,0)),"",VLOOKUP(Tableau13[[#This Row],[Code]],'Code Véhicule'!$A$4:$C$185,2,0))</f>
        <v>Chariot elevateur</v>
      </c>
      <c r="D427" s="38" t="str">
        <f>IF(ISNA(VLOOKUP(Tableau13[[#This Row],[Code]],'Code Véhicule'!$A$4:$C$185,3,0)),"",VLOOKUP(Tableau13[[#This Row],[Code]],'Code Véhicule'!$A$4:$C$185,3,0))</f>
        <v>Linde H25d</v>
      </c>
      <c r="E427" s="36" t="str">
        <f>IF(ISNA(VLOOKUP(Tableau13[[#This Row],[Code]],'Code Véhicule'!$A$4:$D$185,4,0))," ",VLOOKUP(Tableau13[[#This Row],[Code]],'Code Véhicule'!$A$4:$D$185,4,0))</f>
        <v>-</v>
      </c>
      <c r="F427" s="36">
        <v>23534</v>
      </c>
      <c r="G427" s="38" t="s">
        <v>393</v>
      </c>
      <c r="H427" s="38" t="s">
        <v>608</v>
      </c>
      <c r="I427" s="36" t="s">
        <v>504</v>
      </c>
      <c r="J427" s="39" t="s">
        <v>867</v>
      </c>
      <c r="K427" s="36"/>
      <c r="L427" s="40"/>
      <c r="M427" s="40" t="str">
        <f>IF(ISBLANK(Tableau13[[#This Row],[N BS]]),"",(Tableau13[[#This Row],[N BS]]-Tableau13[[#This Row],[Date début]]))</f>
        <v/>
      </c>
      <c r="N427" s="36"/>
      <c r="O427" s="45"/>
      <c r="P427" s="45"/>
      <c r="Q427" s="176" t="e">
        <f>MONTH([1]!Tableau13[[#This Row],[Date début]])</f>
        <v>#REF!</v>
      </c>
      <c r="R427" s="180" t="e">
        <f>YEAR([1]!Tableau13[[#This Row],[Date début]])</f>
        <v>#REF!</v>
      </c>
    </row>
    <row r="428" spans="1:18" ht="15.75" customHeight="1">
      <c r="A428" s="35">
        <v>44183</v>
      </c>
      <c r="B428" s="36">
        <v>439</v>
      </c>
      <c r="C428" s="37" t="str">
        <f>IF(ISNA(VLOOKUP(Tableau13[[#This Row],[Code]],'Code Véhicule'!$A$4:$C$185,2,0)),"",VLOOKUP(Tableau13[[#This Row],[Code]],'Code Véhicule'!$A$4:$C$185,2,0))</f>
        <v>Semi remorque</v>
      </c>
      <c r="D428" s="38" t="str">
        <f>IF(ISNA(VLOOKUP(Tableau13[[#This Row],[Code]],'Code Véhicule'!$A$4:$C$185,3,0)),"",VLOOKUP(Tableau13[[#This Row],[Code]],'Code Véhicule'!$A$4:$C$185,3,0))</f>
        <v>VOLVO</v>
      </c>
      <c r="E428" s="36" t="str">
        <f>IF(ISNA(VLOOKUP(Tableau13[[#This Row],[Code]],'Code Véhicule'!$A$4:$D$185,4,0))," ",VLOOKUP(Tableau13[[#This Row],[Code]],'Code Véhicule'!$A$4:$D$185,4,0))</f>
        <v xml:space="preserve">17886-A-73 </v>
      </c>
      <c r="F428" s="36">
        <v>23539</v>
      </c>
      <c r="G428" s="38" t="s">
        <v>560</v>
      </c>
      <c r="H428" s="38" t="s">
        <v>604</v>
      </c>
      <c r="I428" s="36" t="s">
        <v>304</v>
      </c>
      <c r="J428" s="39" t="s">
        <v>372</v>
      </c>
      <c r="K428" s="36">
        <v>155839</v>
      </c>
      <c r="L428" s="40">
        <v>120</v>
      </c>
      <c r="M428" s="40">
        <v>120</v>
      </c>
      <c r="N428" s="41">
        <v>44183</v>
      </c>
      <c r="O428" s="45"/>
      <c r="P428" s="45"/>
      <c r="Q428" s="176" t="e">
        <f>MONTH([1]!Tableau13[[#This Row],[Date début]])</f>
        <v>#REF!</v>
      </c>
      <c r="R428" s="180" t="e">
        <f>YEAR([1]!Tableau13[[#This Row],[Date début]])</f>
        <v>#REF!</v>
      </c>
    </row>
    <row r="429" spans="1:18" ht="60" customHeight="1">
      <c r="A429" s="35">
        <v>44184</v>
      </c>
      <c r="B429" s="36">
        <v>408</v>
      </c>
      <c r="C429" s="37" t="str">
        <f>IF(ISNA(VLOOKUP(Tableau13[[#This Row],[Code]],'Code Véhicule'!$A$4:$C$185,2,0)),"",VLOOKUP(Tableau13[[#This Row],[Code]],'Code Véhicule'!$A$4:$C$185,2,0))</f>
        <v>Camion</v>
      </c>
      <c r="D429" s="38" t="str">
        <f>IF(ISNA(VLOOKUP(Tableau13[[#This Row],[Code]],'Code Véhicule'!$A$4:$C$185,3,0)),"",VLOOKUP(Tableau13[[#This Row],[Code]],'Code Véhicule'!$A$4:$C$185,3,0))</f>
        <v>Mitsubishi</v>
      </c>
      <c r="E429" s="36" t="str">
        <f>IF(ISNA(VLOOKUP(Tableau13[[#This Row],[Code]],'Code Véhicule'!$A$4:$D$185,4,0))," ",VLOOKUP(Tableau13[[#This Row],[Code]],'Code Véhicule'!$A$4:$D$185,4,0))</f>
        <v>4703-A-73</v>
      </c>
      <c r="F429" s="36">
        <v>23535</v>
      </c>
      <c r="G429" s="38" t="s">
        <v>393</v>
      </c>
      <c r="H429" s="38" t="s">
        <v>608</v>
      </c>
      <c r="I429" s="36" t="s">
        <v>304</v>
      </c>
      <c r="J429" s="39" t="s">
        <v>868</v>
      </c>
      <c r="K429" s="36">
        <v>155836</v>
      </c>
      <c r="L429" s="40">
        <v>180</v>
      </c>
      <c r="M429" s="40">
        <v>180</v>
      </c>
      <c r="N429" s="41">
        <v>44184</v>
      </c>
      <c r="O429" s="45"/>
      <c r="P429" s="45"/>
      <c r="Q429" s="176" t="e">
        <f>MONTH([1]!Tableau13[[#This Row],[Date début]])</f>
        <v>#REF!</v>
      </c>
      <c r="R429" s="180" t="e">
        <f>YEAR([1]!Tableau13[[#This Row],[Date début]])</f>
        <v>#REF!</v>
      </c>
    </row>
    <row r="430" spans="1:18" ht="15.75" customHeight="1">
      <c r="A430" s="35">
        <v>44185</v>
      </c>
      <c r="B430" s="36">
        <v>411</v>
      </c>
      <c r="C430" s="37" t="str">
        <f>IF(ISNA(VLOOKUP(Tableau13[[#This Row],[Code]],'Code Véhicule'!$A$4:$C$41,2,TRUE)),"",(VLOOKUP(Tableau13[[#This Row],[Code]],'Code Véhicule'!$A$4:$C$41,2,TRUE)))</f>
        <v>Camion</v>
      </c>
      <c r="D430" s="38" t="str">
        <f>IF(ISNA(VLOOKUP(Tableau13[[#This Row],[Code]],'Code Véhicule'!$A$4:$C$185,3,0)),"",VLOOKUP(Tableau13[[#This Row],[Code]],'Code Véhicule'!$A$4:$C$185,3,0))</f>
        <v>Renault</v>
      </c>
      <c r="E430" s="36" t="str">
        <f>IF(ISNA(VLOOKUP(Tableau13[[#This Row],[Code]],'Code Véhicule'!$A$4:$D$185,4,0))," ",VLOOKUP(Tableau13[[#This Row],[Code]],'Code Véhicule'!$A$4:$D$185,4,0))</f>
        <v>25636-A-13</v>
      </c>
      <c r="F430" s="36">
        <v>23507</v>
      </c>
      <c r="G430" s="38" t="s">
        <v>560</v>
      </c>
      <c r="H430" s="38" t="s">
        <v>604</v>
      </c>
      <c r="I430" s="36" t="s">
        <v>304</v>
      </c>
      <c r="J430" s="36" t="s">
        <v>831</v>
      </c>
      <c r="K430" s="36">
        <v>154194</v>
      </c>
      <c r="L430" s="40">
        <v>60</v>
      </c>
      <c r="M430" s="36">
        <v>60</v>
      </c>
      <c r="N430" s="41">
        <v>44155</v>
      </c>
      <c r="O430" s="38"/>
      <c r="P430" s="38"/>
      <c r="Q430" s="176" t="e">
        <f>MONTH([1]!Tableau13[[#This Row],[Date début]])</f>
        <v>#REF!</v>
      </c>
      <c r="R430" s="180" t="e">
        <f>YEAR([1]!Tableau13[[#This Row],[Date début]])</f>
        <v>#REF!</v>
      </c>
    </row>
    <row r="431" spans="1:18" ht="30" customHeight="1">
      <c r="A431" s="35">
        <v>44186</v>
      </c>
      <c r="B431" s="36">
        <v>438</v>
      </c>
      <c r="C431" s="37" t="str">
        <f>IF(ISNA(VLOOKUP(Tableau13[[#This Row],[Code]],'Code Véhicule'!$A$4:$C$41,2,TRUE)),"",(VLOOKUP(Tableau13[[#This Row],[Code]],'Code Véhicule'!$A$4:$C$41,2,TRUE)))</f>
        <v>Semi remorque</v>
      </c>
      <c r="D431" s="38" t="str">
        <f>IF(ISNA(VLOOKUP(Tableau13[[#This Row],[Code]],'Code Véhicule'!$A$4:$C$185,3,0)),"",VLOOKUP(Tableau13[[#This Row],[Code]],'Code Véhicule'!$A$4:$C$185,3,0))</f>
        <v>VOLVO</v>
      </c>
      <c r="E431" s="36" t="str">
        <f>IF(ISNA(VLOOKUP(Tableau13[[#This Row],[Code]],'Code Véhicule'!$A$4:$D$185,4,0))," ",VLOOKUP(Tableau13[[#This Row],[Code]],'Code Véhicule'!$A$4:$D$185,4,0))</f>
        <v xml:space="preserve">17885-A-73 </v>
      </c>
      <c r="F431" s="36">
        <v>23508</v>
      </c>
      <c r="G431" s="38" t="s">
        <v>523</v>
      </c>
      <c r="H431" s="38" t="s">
        <v>606</v>
      </c>
      <c r="I431" s="36" t="s">
        <v>322</v>
      </c>
      <c r="J431" s="36" t="s">
        <v>832</v>
      </c>
      <c r="K431" s="36" t="s">
        <v>833</v>
      </c>
      <c r="L431" s="40">
        <v>120</v>
      </c>
      <c r="M431" s="36">
        <v>120</v>
      </c>
      <c r="N431" s="41">
        <v>44155</v>
      </c>
      <c r="O431" s="38"/>
      <c r="P431" s="38"/>
      <c r="Q431" s="176" t="e">
        <f>MONTH([1]!Tableau13[[#This Row],[Date début]])</f>
        <v>#REF!</v>
      </c>
      <c r="R431" s="180" t="e">
        <f>YEAR([1]!Tableau13[[#This Row],[Date début]])</f>
        <v>#REF!</v>
      </c>
    </row>
    <row r="432" spans="1:18" ht="45">
      <c r="A432" s="35">
        <v>44186</v>
      </c>
      <c r="B432" s="36">
        <v>471</v>
      </c>
      <c r="C432" s="37" t="str">
        <f>IF(ISNA(VLOOKUP(Tableau13[[#This Row],[Code]],'Code Véhicule'!$A$4:$C$41,2,TRUE)),"",(VLOOKUP(Tableau13[[#This Row],[Code]],'Code Véhicule'!$A$4:$C$41,2,TRUE)))</f>
        <v>Bus de transport</v>
      </c>
      <c r="D432" s="38" t="str">
        <f>IF(ISNA(VLOOKUP(Tableau13[[#This Row],[Code]],'Code Véhicule'!$A$4:$C$185,3,0)),"",VLOOKUP(Tableau13[[#This Row],[Code]],'Code Véhicule'!$A$4:$C$185,3,0))</f>
        <v xml:space="preserve">Hyundai County </v>
      </c>
      <c r="E432" s="36" t="str">
        <f>IF(ISNA(VLOOKUP(Tableau13[[#This Row],[Code]],'Code Véhicule'!$A$4:$D$185,4,0))," ",VLOOKUP(Tableau13[[#This Row],[Code]],'Code Véhicule'!$A$4:$D$185,4,0))</f>
        <v>18516-A-73</v>
      </c>
      <c r="F432" s="36">
        <v>23519</v>
      </c>
      <c r="G432" s="38" t="s">
        <v>313</v>
      </c>
      <c r="H432" s="38" t="s">
        <v>846</v>
      </c>
      <c r="I432" s="36" t="s">
        <v>304</v>
      </c>
      <c r="J432" s="36" t="s">
        <v>847</v>
      </c>
      <c r="K432" s="36">
        <v>155803</v>
      </c>
      <c r="L432" s="40">
        <v>1710</v>
      </c>
      <c r="M432" s="36">
        <v>4550</v>
      </c>
      <c r="N432" s="41">
        <v>44173</v>
      </c>
      <c r="O432" s="38"/>
      <c r="P432" s="38"/>
      <c r="Q432" s="176" t="e">
        <f>MONTH([1]!Tableau13[[#This Row],[Date début]])</f>
        <v>#REF!</v>
      </c>
      <c r="R432" s="180" t="e">
        <f>YEAR([1]!Tableau13[[#This Row],[Date début]])</f>
        <v>#REF!</v>
      </c>
    </row>
    <row r="433" spans="1:18" ht="45" customHeight="1">
      <c r="A433" s="35">
        <v>44186</v>
      </c>
      <c r="B433" s="36">
        <v>477</v>
      </c>
      <c r="C433" s="37" t="str">
        <f>IF(ISNA(VLOOKUP(Tableau13[[#This Row],[Code]],'Code Véhicule'!$A$4:$C$185,2,0)),"",VLOOKUP(Tableau13[[#This Row],[Code]],'Code Véhicule'!$A$4:$C$185,2,0))</f>
        <v>Chariot elevateur</v>
      </c>
      <c r="D433" s="38" t="str">
        <f>IF(ISNA(VLOOKUP(Tableau13[[#This Row],[Code]],'Code Véhicule'!$A$4:$C$185,3,0)),"",VLOOKUP(Tableau13[[#This Row],[Code]],'Code Véhicule'!$A$4:$C$185,3,0))</f>
        <v>Linde H30D</v>
      </c>
      <c r="E433" s="36" t="str">
        <f>IF(ISNA(VLOOKUP(Tableau13[[#This Row],[Code]],'Code Véhicule'!$A$4:$D$185,4,0))," ",VLOOKUP(Tableau13[[#This Row],[Code]],'Code Véhicule'!$A$4:$D$185,4,0))</f>
        <v>-</v>
      </c>
      <c r="F433" s="36">
        <v>23541</v>
      </c>
      <c r="G433" s="38" t="s">
        <v>393</v>
      </c>
      <c r="H433" s="38" t="s">
        <v>608</v>
      </c>
      <c r="I433" s="36" t="s">
        <v>302</v>
      </c>
      <c r="J433" s="39" t="s">
        <v>874</v>
      </c>
      <c r="K433" s="36">
        <v>156001</v>
      </c>
      <c r="L433" s="40">
        <v>120</v>
      </c>
      <c r="M433" s="40">
        <v>120</v>
      </c>
      <c r="N433" s="41">
        <v>44186</v>
      </c>
      <c r="O433" s="45"/>
      <c r="P433" s="45"/>
      <c r="Q433" s="176" t="e">
        <f>MONTH([1]!Tableau13[[#This Row],[Date début]])</f>
        <v>#REF!</v>
      </c>
      <c r="R433" s="180" t="e">
        <f>YEAR([1]!Tableau13[[#This Row],[Date début]])</f>
        <v>#REF!</v>
      </c>
    </row>
    <row r="434" spans="1:18" ht="45" customHeight="1">
      <c r="A434" s="35">
        <v>44186</v>
      </c>
      <c r="B434" s="36">
        <v>480</v>
      </c>
      <c r="C434" s="37" t="str">
        <f>IF(ISNA(VLOOKUP(Tableau13[[#This Row],[Code]],'Code Véhicule'!$A$4:$C$185,2,0)),"",VLOOKUP(Tableau13[[#This Row],[Code]],'Code Véhicule'!$A$4:$C$185,2,0))</f>
        <v>Camion</v>
      </c>
      <c r="D434" s="38" t="str">
        <f>IF(ISNA(VLOOKUP(Tableau13[[#This Row],[Code]],'Code Véhicule'!$A$4:$C$185,3,0)),"",VLOOKUP(Tableau13[[#This Row],[Code]],'Code Véhicule'!$A$4:$C$185,3,0))</f>
        <v>VOLVO</v>
      </c>
      <c r="E434" s="36" t="str">
        <f>IF(ISNA(VLOOKUP(Tableau13[[#This Row],[Code]],'Code Véhicule'!$A$4:$D$185,4,0))," ",VLOOKUP(Tableau13[[#This Row],[Code]],'Code Véhicule'!$A$4:$D$185,4,0))</f>
        <v>22299-A-73</v>
      </c>
      <c r="F434" s="36">
        <v>23542</v>
      </c>
      <c r="G434" s="38" t="s">
        <v>353</v>
      </c>
      <c r="H434" s="38" t="s">
        <v>729</v>
      </c>
      <c r="I434" s="36" t="s">
        <v>304</v>
      </c>
      <c r="J434" s="39" t="s">
        <v>875</v>
      </c>
      <c r="K434" s="36">
        <v>156002</v>
      </c>
      <c r="L434" s="40">
        <v>120</v>
      </c>
      <c r="M434" s="40">
        <v>120</v>
      </c>
      <c r="N434" s="41">
        <v>44186</v>
      </c>
      <c r="O434" s="45"/>
      <c r="P434" s="45"/>
      <c r="Q434" s="176" t="e">
        <f>MONTH([1]!Tableau13[[#This Row],[Date début]])</f>
        <v>#REF!</v>
      </c>
      <c r="R434" s="180" t="e">
        <f>YEAR([1]!Tableau13[[#This Row],[Date début]])</f>
        <v>#REF!</v>
      </c>
    </row>
    <row r="435" spans="1:18" ht="30" customHeight="1">
      <c r="A435" s="35">
        <v>44187</v>
      </c>
      <c r="B435" s="36">
        <v>438</v>
      </c>
      <c r="C435" s="37" t="str">
        <f>IF(ISNA(VLOOKUP(Tableau13[[#This Row],[Code]],'Code Véhicule'!$A$4:$C$185,2,0)),"",VLOOKUP(Tableau13[[#This Row],[Code]],'Code Véhicule'!$A$4:$C$185,2,0))</f>
        <v>Semi remorque</v>
      </c>
      <c r="D435" s="38" t="str">
        <f>IF(ISNA(VLOOKUP(Tableau13[[#This Row],[Code]],'Code Véhicule'!$A$4:$C$185,3,0)),"",VLOOKUP(Tableau13[[#This Row],[Code]],'Code Véhicule'!$A$4:$C$185,3,0))</f>
        <v>VOLVO</v>
      </c>
      <c r="E435" s="36" t="str">
        <f>IF(ISNA(VLOOKUP(Tableau13[[#This Row],[Code]],'Code Véhicule'!$A$4:$D$185,4,0))," ",VLOOKUP(Tableau13[[#This Row],[Code]],'Code Véhicule'!$A$4:$D$185,4,0))</f>
        <v xml:space="preserve">17885-A-73 </v>
      </c>
      <c r="F435" s="36">
        <v>23543</v>
      </c>
      <c r="G435" s="38" t="s">
        <v>353</v>
      </c>
      <c r="H435" s="38" t="s">
        <v>729</v>
      </c>
      <c r="I435" s="36" t="s">
        <v>304</v>
      </c>
      <c r="J435" s="39" t="s">
        <v>876</v>
      </c>
      <c r="K435" s="36">
        <v>156006</v>
      </c>
      <c r="L435" s="40">
        <v>120</v>
      </c>
      <c r="M435" s="40">
        <v>120</v>
      </c>
      <c r="N435" s="41">
        <v>44187</v>
      </c>
      <c r="O435" s="45"/>
      <c r="P435" s="45"/>
      <c r="Q435" s="176" t="e">
        <f>MONTH([1]!Tableau13[[#This Row],[Date début]])</f>
        <v>#REF!</v>
      </c>
      <c r="R435" s="180" t="e">
        <f>YEAR([1]!Tableau13[[#This Row],[Date début]])</f>
        <v>#REF!</v>
      </c>
    </row>
    <row r="436" spans="1:18" ht="15.75" customHeight="1">
      <c r="A436" s="35">
        <v>44188</v>
      </c>
      <c r="B436" s="36">
        <v>477</v>
      </c>
      <c r="C436" s="37" t="str">
        <f>IF(ISNA(VLOOKUP(Tableau13[[#This Row],[Code]],'Code Véhicule'!$A$4:$C$41,2,TRUE)),"",(VLOOKUP(Tableau13[[#This Row],[Code]],'Code Véhicule'!$A$4:$C$41,2,TRUE)))</f>
        <v>Chariot elevateur</v>
      </c>
      <c r="D436" s="38" t="str">
        <f>IF(ISNA(VLOOKUP(Tableau13[[#This Row],[Code]],'Code Véhicule'!$A$4:$C$185,3,0)),"",VLOOKUP(Tableau13[[#This Row],[Code]],'Code Véhicule'!$A$4:$C$185,3,0))</f>
        <v>Linde H30D</v>
      </c>
      <c r="E436" s="36" t="str">
        <f>IF(ISNA(VLOOKUP(Tableau13[[#This Row],[Code]],'Code Véhicule'!$A$4:$D$185,4,0))," ",VLOOKUP(Tableau13[[#This Row],[Code]],'Code Véhicule'!$A$4:$D$185,4,0))</f>
        <v>-</v>
      </c>
      <c r="F436" s="36">
        <v>23509</v>
      </c>
      <c r="G436" s="38" t="s">
        <v>511</v>
      </c>
      <c r="H436" s="38" t="s">
        <v>834</v>
      </c>
      <c r="I436" s="36" t="s">
        <v>304</v>
      </c>
      <c r="J436" s="36" t="s">
        <v>569</v>
      </c>
      <c r="K436" s="36">
        <v>154555</v>
      </c>
      <c r="L436" s="40">
        <v>120</v>
      </c>
      <c r="M436" s="36">
        <v>120</v>
      </c>
      <c r="N436" s="41">
        <v>44158</v>
      </c>
      <c r="O436" s="38"/>
      <c r="P436" s="38"/>
      <c r="Q436" s="176" t="e">
        <f>MONTH([1]!Tableau13[[#This Row],[Date début]])</f>
        <v>#REF!</v>
      </c>
      <c r="R436" s="180" t="e">
        <f>YEAR([1]!Tableau13[[#This Row],[Date début]])</f>
        <v>#REF!</v>
      </c>
    </row>
    <row r="437" spans="1:18" ht="15.75" customHeight="1">
      <c r="A437" s="35">
        <v>44188</v>
      </c>
      <c r="B437" s="36">
        <v>407</v>
      </c>
      <c r="C437" s="37" t="str">
        <f>IF(ISNA(VLOOKUP(Tableau13[[#This Row],[Code]],'Code Véhicule'!$A$4:$C$41,2,TRUE)),"",(VLOOKUP(Tableau13[[#This Row],[Code]],'Code Véhicule'!$A$4:$C$41,2,TRUE)))</f>
        <v>Semi remorque</v>
      </c>
      <c r="D437" s="38" t="str">
        <f>IF(ISNA(VLOOKUP(Tableau13[[#This Row],[Code]],'Code Véhicule'!$A$4:$C$185,3,0)),"",VLOOKUP(Tableau13[[#This Row],[Code]],'Code Véhicule'!$A$4:$C$185,3,0))</f>
        <v>MAN</v>
      </c>
      <c r="E437" s="36" t="str">
        <f>IF(ISNA(VLOOKUP(Tableau13[[#This Row],[Code]],'Code Véhicule'!$A$4:$D$185,4,0))," ",VLOOKUP(Tableau13[[#This Row],[Code]],'Code Véhicule'!$A$4:$D$185,4,0))</f>
        <v>706-A-73</v>
      </c>
      <c r="F437" s="36">
        <v>23510</v>
      </c>
      <c r="G437" s="38" t="s">
        <v>511</v>
      </c>
      <c r="H437" s="38" t="s">
        <v>672</v>
      </c>
      <c r="I437" s="36" t="s">
        <v>304</v>
      </c>
      <c r="J437" s="36" t="s">
        <v>835</v>
      </c>
      <c r="K437" s="36">
        <v>154559</v>
      </c>
      <c r="L437" s="40">
        <v>120</v>
      </c>
      <c r="M437" s="36">
        <v>120</v>
      </c>
      <c r="N437" s="41">
        <v>44158</v>
      </c>
      <c r="O437" s="38"/>
      <c r="P437" s="38"/>
      <c r="Q437" s="176" t="e">
        <f>MONTH([1]!Tableau13[[#This Row],[Date début]])</f>
        <v>#REF!</v>
      </c>
      <c r="R437" s="180" t="e">
        <f>YEAR([1]!Tableau13[[#This Row],[Date début]])</f>
        <v>#REF!</v>
      </c>
    </row>
    <row r="438" spans="1:18">
      <c r="A438" s="35">
        <v>44188</v>
      </c>
      <c r="B438" s="36">
        <v>479</v>
      </c>
      <c r="C438" s="37" t="str">
        <f>IF(ISNA(VLOOKUP(Tableau13[[#This Row],[Code]],'Code Véhicule'!$A$4:$C$185,2,0)),"",VLOOKUP(Tableau13[[#This Row],[Code]],'Code Véhicule'!$A$4:$C$185,2,0))</f>
        <v>Bus de transport</v>
      </c>
      <c r="D438" s="38" t="str">
        <f>IF(ISNA(VLOOKUP(Tableau13[[#This Row],[Code]],'Code Véhicule'!$A$4:$C$185,3,0)),"",VLOOKUP(Tableau13[[#This Row],[Code]],'Code Véhicule'!$A$4:$C$185,3,0))</f>
        <v>Hyundai County</v>
      </c>
      <c r="E438" s="36" t="str">
        <f>IF(ISNA(VLOOKUP(Tableau13[[#This Row],[Code]],'Code Véhicule'!$A$4:$D$185,4,0))," ",VLOOKUP(Tableau13[[#This Row],[Code]],'Code Véhicule'!$A$4:$D$185,4,0))</f>
        <v>22772-A-73</v>
      </c>
      <c r="F438" s="36">
        <v>23545</v>
      </c>
      <c r="G438" s="38" t="s">
        <v>545</v>
      </c>
      <c r="H438" s="38" t="s">
        <v>787</v>
      </c>
      <c r="I438" s="36" t="s">
        <v>304</v>
      </c>
      <c r="J438" s="39" t="s">
        <v>880</v>
      </c>
      <c r="K438" s="36">
        <v>156010</v>
      </c>
      <c r="L438" s="40">
        <v>30</v>
      </c>
      <c r="M438" s="40">
        <v>30</v>
      </c>
      <c r="N438" s="41">
        <v>44188</v>
      </c>
      <c r="O438" s="45"/>
      <c r="P438" s="45"/>
      <c r="Q438" s="176" t="e">
        <f>MONTH([1]!Tableau13[[#This Row],[Date début]])</f>
        <v>#REF!</v>
      </c>
      <c r="R438" s="180" t="e">
        <f>YEAR([1]!Tableau13[[#This Row],[Date début]])</f>
        <v>#REF!</v>
      </c>
    </row>
    <row r="439" spans="1:18" ht="15.75" customHeight="1">
      <c r="A439" s="35">
        <v>44188</v>
      </c>
      <c r="B439" s="36">
        <v>428</v>
      </c>
      <c r="C439" s="37" t="str">
        <f>IF(ISNA(VLOOKUP(Tableau13[[#This Row],[Code]],'Code Véhicule'!$A$4:$C$185,2,0)),"",VLOOKUP(Tableau13[[#This Row],[Code]],'Code Véhicule'!$A$4:$C$185,2,0))</f>
        <v>Chariot elevateur</v>
      </c>
      <c r="D439" s="38" t="str">
        <f>IF(ISNA(VLOOKUP(Tableau13[[#This Row],[Code]],'Code Véhicule'!$A$4:$C$185,3,0)),"",VLOOKUP(Tableau13[[#This Row],[Code]],'Code Véhicule'!$A$4:$C$185,3,0))</f>
        <v>Linde H30</v>
      </c>
      <c r="E439" s="36" t="str">
        <f>IF(ISNA(VLOOKUP(Tableau13[[#This Row],[Code]],'Code Véhicule'!$A$4:$D$185,4,0))," ",VLOOKUP(Tableau13[[#This Row],[Code]],'Code Véhicule'!$A$4:$D$185,4,0))</f>
        <v>-</v>
      </c>
      <c r="F439" s="36">
        <v>23546</v>
      </c>
      <c r="G439" s="38" t="s">
        <v>393</v>
      </c>
      <c r="H439" s="38" t="s">
        <v>613</v>
      </c>
      <c r="I439" s="36" t="s">
        <v>302</v>
      </c>
      <c r="J439" s="39" t="s">
        <v>342</v>
      </c>
      <c r="K439" s="36">
        <v>156011</v>
      </c>
      <c r="L439" s="40">
        <v>30</v>
      </c>
      <c r="M439" s="40">
        <v>30</v>
      </c>
      <c r="N439" s="41">
        <v>44188</v>
      </c>
      <c r="O439" s="45"/>
      <c r="P439" s="45"/>
      <c r="Q439" s="176" t="e">
        <f>MONTH([1]!Tableau13[[#This Row],[Date début]])</f>
        <v>#REF!</v>
      </c>
      <c r="R439" s="180" t="e">
        <f>YEAR([1]!Tableau13[[#This Row],[Date début]])</f>
        <v>#REF!</v>
      </c>
    </row>
    <row r="440" spans="1:18">
      <c r="A440" s="35">
        <v>44189</v>
      </c>
      <c r="B440" s="36">
        <v>471</v>
      </c>
      <c r="C440" s="37" t="str">
        <f>IF(ISNA(VLOOKUP(Tableau13[[#This Row],[Code]],'Code Véhicule'!$A$4:$C$185,2,0)),"",VLOOKUP(Tableau13[[#This Row],[Code]],'Code Véhicule'!$A$4:$C$185,2,0))</f>
        <v>Bus de transport</v>
      </c>
      <c r="D440" s="38" t="str">
        <f>IF(ISNA(VLOOKUP(Tableau13[[#This Row],[Code]],'Code Véhicule'!$A$4:$C$185,3,0)),"",VLOOKUP(Tableau13[[#This Row],[Code]],'Code Véhicule'!$A$4:$C$185,3,0))</f>
        <v xml:space="preserve">Hyundai County </v>
      </c>
      <c r="E440" s="36" t="str">
        <f>IF(ISNA(VLOOKUP(Tableau13[[#This Row],[Code]],'Code Véhicule'!$A$4:$D$185,4,0))," ",VLOOKUP(Tableau13[[#This Row],[Code]],'Code Véhicule'!$A$4:$D$185,4,0))</f>
        <v>18516-A-73</v>
      </c>
      <c r="F440" s="36">
        <v>23547</v>
      </c>
      <c r="G440" s="38" t="s">
        <v>560</v>
      </c>
      <c r="H440" s="38" t="s">
        <v>604</v>
      </c>
      <c r="I440" s="36" t="s">
        <v>304</v>
      </c>
      <c r="J440" s="39" t="s">
        <v>372</v>
      </c>
      <c r="K440" s="36">
        <v>156016</v>
      </c>
      <c r="L440" s="40">
        <v>60</v>
      </c>
      <c r="M440" s="40">
        <v>60</v>
      </c>
      <c r="N440" s="41">
        <v>44189</v>
      </c>
      <c r="O440" s="45"/>
      <c r="P440" s="45"/>
      <c r="Q440" s="176" t="e">
        <f>MONTH([1]!Tableau13[[#This Row],[Date début]])</f>
        <v>#REF!</v>
      </c>
      <c r="R440" s="180" t="e">
        <f>YEAR([1]!Tableau13[[#This Row],[Date début]])</f>
        <v>#REF!</v>
      </c>
    </row>
    <row r="441" spans="1:18" ht="15.75" customHeight="1">
      <c r="A441" s="35">
        <v>44189</v>
      </c>
      <c r="B441" s="36">
        <v>408</v>
      </c>
      <c r="C441" s="37" t="str">
        <f>IF(ISNA(VLOOKUP(Tableau13[[#This Row],[Code]],'Code Véhicule'!$A$4:$C$185,2,0)),"",VLOOKUP(Tableau13[[#This Row],[Code]],'Code Véhicule'!$A$4:$C$185,2,0))</f>
        <v>Camion</v>
      </c>
      <c r="D441" s="38" t="str">
        <f>IF(ISNA(VLOOKUP(Tableau13[[#This Row],[Code]],'Code Véhicule'!$A$4:$C$185,3,0)),"",VLOOKUP(Tableau13[[#This Row],[Code]],'Code Véhicule'!$A$4:$C$185,3,0))</f>
        <v>Mitsubishi</v>
      </c>
      <c r="E441" s="36" t="str">
        <f>IF(ISNA(VLOOKUP(Tableau13[[#This Row],[Code]],'Code Véhicule'!$A$4:$D$185,4,0))," ",VLOOKUP(Tableau13[[#This Row],[Code]],'Code Véhicule'!$A$4:$D$185,4,0))</f>
        <v>4703-A-73</v>
      </c>
      <c r="F441" s="36">
        <v>23548</v>
      </c>
      <c r="G441" s="38" t="s">
        <v>560</v>
      </c>
      <c r="H441" s="38" t="s">
        <v>604</v>
      </c>
      <c r="I441" s="36" t="s">
        <v>304</v>
      </c>
      <c r="J441" s="39" t="s">
        <v>372</v>
      </c>
      <c r="K441" s="36">
        <v>156017</v>
      </c>
      <c r="L441" s="40">
        <v>120</v>
      </c>
      <c r="M441" s="40">
        <v>120</v>
      </c>
      <c r="N441" s="41">
        <v>44190</v>
      </c>
      <c r="O441" s="45"/>
      <c r="P441" s="45"/>
      <c r="Q441" s="176" t="e">
        <f>MONTH([1]!Tableau13[[#This Row],[Date début]])</f>
        <v>#REF!</v>
      </c>
      <c r="R441" s="180" t="e">
        <f>YEAR([1]!Tableau13[[#This Row],[Date début]])</f>
        <v>#REF!</v>
      </c>
    </row>
    <row r="442" spans="1:18" ht="15.75" customHeight="1">
      <c r="A442" s="35">
        <v>44190</v>
      </c>
      <c r="B442" s="36">
        <v>401</v>
      </c>
      <c r="C442" s="37" t="str">
        <f>IF(ISNA(VLOOKUP(Tableau13[[#This Row],[Code]],'Code Véhicule'!$A$4:$C$185,2,0)),"",VLOOKUP(Tableau13[[#This Row],[Code]],'Code Véhicule'!$A$4:$C$185,2,0))</f>
        <v>Camion</v>
      </c>
      <c r="D442" s="38" t="str">
        <f>IF(ISNA(VLOOKUP(Tableau13[[#This Row],[Code]],'Code Véhicule'!$A$4:$C$185,3,0)),"",VLOOKUP(Tableau13[[#This Row],[Code]],'Code Véhicule'!$A$4:$C$185,3,0))</f>
        <v>ISUZU</v>
      </c>
      <c r="E442" s="36" t="str">
        <f>IF(ISNA(VLOOKUP(Tableau13[[#This Row],[Code]],'Code Véhicule'!$A$4:$D$185,4,0))," ",VLOOKUP(Tableau13[[#This Row],[Code]],'Code Véhicule'!$A$4:$D$185,4,0))</f>
        <v>26128-A-8</v>
      </c>
      <c r="F442" s="36">
        <v>23549</v>
      </c>
      <c r="G442" s="38" t="s">
        <v>545</v>
      </c>
      <c r="H442" s="38" t="s">
        <v>881</v>
      </c>
      <c r="I442" s="36" t="s">
        <v>304</v>
      </c>
      <c r="J442" s="39" t="s">
        <v>882</v>
      </c>
      <c r="K442" s="36">
        <v>156018</v>
      </c>
      <c r="L442" s="40">
        <v>30</v>
      </c>
      <c r="M442" s="40">
        <v>30</v>
      </c>
      <c r="N442" s="41">
        <v>44190</v>
      </c>
      <c r="O442" s="45"/>
      <c r="P442" s="45"/>
      <c r="Q442" s="176" t="e">
        <f>MONTH([1]!Tableau13[[#This Row],[Date début]])</f>
        <v>#REF!</v>
      </c>
      <c r="R442" s="180" t="e">
        <f>YEAR([1]!Tableau13[[#This Row],[Date début]])</f>
        <v>#REF!</v>
      </c>
    </row>
    <row r="443" spans="1:18" ht="30" customHeight="1">
      <c r="A443" s="35">
        <v>44190</v>
      </c>
      <c r="B443" s="36">
        <v>435</v>
      </c>
      <c r="C443" s="37" t="str">
        <f>IF(ISNA(VLOOKUP(Tableau13[[#This Row],[Code]],'Code Véhicule'!$A$4:$C$185,2,0)),"",VLOOKUP(Tableau13[[#This Row],[Code]],'Code Véhicule'!$A$4:$C$185,2,0))</f>
        <v>Camion</v>
      </c>
      <c r="D443" s="38" t="str">
        <f>IF(ISNA(VLOOKUP(Tableau13[[#This Row],[Code]],'Code Véhicule'!$A$4:$C$185,3,0)),"",VLOOKUP(Tableau13[[#This Row],[Code]],'Code Véhicule'!$A$4:$C$185,3,0))</f>
        <v>Mitsubishi</v>
      </c>
      <c r="E443" s="36" t="str">
        <f>IF(ISNA(VLOOKUP(Tableau13[[#This Row],[Code]],'Code Véhicule'!$A$4:$D$185,4,0))," ",VLOOKUP(Tableau13[[#This Row],[Code]],'Code Véhicule'!$A$4:$D$185,4,0))</f>
        <v xml:space="preserve"> 11469-A-73</v>
      </c>
      <c r="F443" s="36">
        <v>23550</v>
      </c>
      <c r="G443" s="38" t="s">
        <v>560</v>
      </c>
      <c r="H443" s="38" t="s">
        <v>604</v>
      </c>
      <c r="I443" s="36" t="s">
        <v>304</v>
      </c>
      <c r="J443" s="39" t="s">
        <v>372</v>
      </c>
      <c r="K443" s="36">
        <v>156022</v>
      </c>
      <c r="L443" s="40">
        <v>120</v>
      </c>
      <c r="M443" s="40">
        <v>120</v>
      </c>
      <c r="N443" s="41">
        <v>44190</v>
      </c>
      <c r="O443" s="45"/>
      <c r="P443" s="45"/>
      <c r="Q443" s="176" t="e">
        <f>MONTH([1]!Tableau13[[#This Row],[Date début]])</f>
        <v>#REF!</v>
      </c>
      <c r="R443" s="180" t="e">
        <f>YEAR([1]!Tableau13[[#This Row],[Date début]])</f>
        <v>#REF!</v>
      </c>
    </row>
    <row r="444" spans="1:18" ht="30" customHeight="1">
      <c r="A444" s="35">
        <v>44190</v>
      </c>
      <c r="B444" s="36">
        <v>408</v>
      </c>
      <c r="C444" s="37" t="str">
        <f>IF(ISNA(VLOOKUP(Tableau13[[#This Row],[Code]],'Code Véhicule'!$A$4:$C$185,2,0)),"",VLOOKUP(Tableau13[[#This Row],[Code]],'Code Véhicule'!$A$4:$C$185,2,0))</f>
        <v>Camion</v>
      </c>
      <c r="D444" s="38" t="str">
        <f>IF(ISNA(VLOOKUP(Tableau13[[#This Row],[Code]],'Code Véhicule'!$A$4:$C$185,3,0)),"",VLOOKUP(Tableau13[[#This Row],[Code]],'Code Véhicule'!$A$4:$C$185,3,0))</f>
        <v>Mitsubishi</v>
      </c>
      <c r="E444" s="36" t="str">
        <f>IF(ISNA(VLOOKUP(Tableau13[[#This Row],[Code]],'Code Véhicule'!$A$4:$D$185,4,0))," ",VLOOKUP(Tableau13[[#This Row],[Code]],'Code Véhicule'!$A$4:$D$185,4,0))</f>
        <v>4703-A-73</v>
      </c>
      <c r="F444" s="36">
        <v>23951</v>
      </c>
      <c r="G444" s="38" t="s">
        <v>545</v>
      </c>
      <c r="H444" s="38" t="s">
        <v>883</v>
      </c>
      <c r="I444" s="36" t="s">
        <v>304</v>
      </c>
      <c r="J444" s="39" t="s">
        <v>884</v>
      </c>
      <c r="K444" s="36">
        <v>156023</v>
      </c>
      <c r="L444" s="40">
        <v>60</v>
      </c>
      <c r="M444" s="40">
        <v>60</v>
      </c>
      <c r="N444" s="41">
        <v>44190</v>
      </c>
      <c r="O444" s="45"/>
      <c r="P444" s="45"/>
      <c r="Q444" s="176" t="e">
        <f>MONTH([1]!Tableau13[[#This Row],[Date début]])</f>
        <v>#REF!</v>
      </c>
      <c r="R444" s="180" t="e">
        <f>YEAR([1]!Tableau13[[#This Row],[Date début]])</f>
        <v>#REF!</v>
      </c>
    </row>
    <row r="445" spans="1:18" ht="90" customHeight="1">
      <c r="A445" s="35">
        <v>44190</v>
      </c>
      <c r="B445" s="36">
        <v>407</v>
      </c>
      <c r="C445" s="37" t="str">
        <f>IF(ISNA(VLOOKUP(Tableau13[[#This Row],[Code]],'Code Véhicule'!$A$4:$C$185,2,0)),"",VLOOKUP(Tableau13[[#This Row],[Code]],'Code Véhicule'!$A$4:$C$185,2,0))</f>
        <v>Semi remorque</v>
      </c>
      <c r="D445" s="38" t="str">
        <f>IF(ISNA(VLOOKUP(Tableau13[[#This Row],[Code]],'Code Véhicule'!$A$4:$C$185,3,0)),"",VLOOKUP(Tableau13[[#This Row],[Code]],'Code Véhicule'!$A$4:$C$185,3,0))</f>
        <v>MAN</v>
      </c>
      <c r="E445" s="36" t="str">
        <f>IF(ISNA(VLOOKUP(Tableau13[[#This Row],[Code]],'Code Véhicule'!$A$4:$D$185,4,0))," ",VLOOKUP(Tableau13[[#This Row],[Code]],'Code Véhicule'!$A$4:$D$185,4,0))</f>
        <v>706-A-73</v>
      </c>
      <c r="F445" s="36">
        <v>23952</v>
      </c>
      <c r="G445" s="38" t="s">
        <v>885</v>
      </c>
      <c r="H445" s="38" t="s">
        <v>886</v>
      </c>
      <c r="I445" s="36" t="s">
        <v>304</v>
      </c>
      <c r="J445" s="39" t="s">
        <v>887</v>
      </c>
      <c r="K445" s="36" t="s">
        <v>888</v>
      </c>
      <c r="L445" s="40">
        <v>2280</v>
      </c>
      <c r="M445" s="40">
        <v>2280</v>
      </c>
      <c r="N445" s="41">
        <v>44193</v>
      </c>
      <c r="O445" s="45"/>
      <c r="P445" s="45"/>
      <c r="Q445" s="176" t="e">
        <f>MONTH([1]!Tableau13[[#This Row],[Date début]])</f>
        <v>#REF!</v>
      </c>
      <c r="R445" s="180" t="e">
        <f>YEAR([1]!Tableau13[[#This Row],[Date début]])</f>
        <v>#REF!</v>
      </c>
    </row>
    <row r="446" spans="1:18" ht="45" customHeight="1">
      <c r="A446" s="35">
        <v>44191</v>
      </c>
      <c r="B446" s="36">
        <v>403</v>
      </c>
      <c r="C446" s="37" t="str">
        <f>IF(ISNA(VLOOKUP(Tableau13[[#This Row],[Code]],'Code Véhicule'!$A$4:$C$185,2,0)),"",VLOOKUP(Tableau13[[#This Row],[Code]],'Code Véhicule'!$A$4:$C$185,2,0))</f>
        <v>Camion</v>
      </c>
      <c r="D446" s="38" t="str">
        <f>IF(ISNA(VLOOKUP(Tableau13[[#This Row],[Code]],'Code Véhicule'!$A$4:$C$185,3,0)),"",VLOOKUP(Tableau13[[#This Row],[Code]],'Code Véhicule'!$A$4:$C$185,3,0))</f>
        <v>MAN</v>
      </c>
      <c r="E446" s="36" t="str">
        <f>IF(ISNA(VLOOKUP(Tableau13[[#This Row],[Code]],'Code Véhicule'!$A$4:$D$185,4,0))," ",VLOOKUP(Tableau13[[#This Row],[Code]],'Code Véhicule'!$A$4:$D$185,4,0))</f>
        <v>4790-B-8</v>
      </c>
      <c r="F446" s="36">
        <v>23953</v>
      </c>
      <c r="G446" s="38" t="s">
        <v>393</v>
      </c>
      <c r="H446" s="38" t="s">
        <v>608</v>
      </c>
      <c r="I446" s="36" t="s">
        <v>302</v>
      </c>
      <c r="J446" s="39" t="s">
        <v>889</v>
      </c>
      <c r="K446" s="36">
        <v>156026</v>
      </c>
      <c r="L446" s="40">
        <v>60</v>
      </c>
      <c r="M446" s="40">
        <v>60</v>
      </c>
      <c r="N446" s="41">
        <v>44191</v>
      </c>
      <c r="O446" s="45"/>
      <c r="P446" s="45"/>
      <c r="Q446" s="176" t="e">
        <f>MONTH([1]!Tableau13[[#This Row],[Date début]])</f>
        <v>#REF!</v>
      </c>
      <c r="R446" s="180" t="e">
        <f>YEAR([1]!Tableau13[[#This Row],[Date début]])</f>
        <v>#REF!</v>
      </c>
    </row>
    <row r="447" spans="1:18" ht="30" customHeight="1">
      <c r="A447" s="35">
        <v>44191</v>
      </c>
      <c r="B447" s="36">
        <v>426</v>
      </c>
      <c r="C447" s="37" t="str">
        <f>IF(ISNA(VLOOKUP(Tableau13[[#This Row],[Code]],'Code Véhicule'!$A$4:$C$185,2,0)),"",VLOOKUP(Tableau13[[#This Row],[Code]],'Code Véhicule'!$A$4:$C$185,2,0))</f>
        <v>Chariot elevateur</v>
      </c>
      <c r="D447" s="38" t="str">
        <f>IF(ISNA(VLOOKUP(Tableau13[[#This Row],[Code]],'Code Véhicule'!$A$4:$C$185,3,0)),"",VLOOKUP(Tableau13[[#This Row],[Code]],'Code Véhicule'!$A$4:$C$185,3,0))</f>
        <v>Manitou MC 30</v>
      </c>
      <c r="E447" s="36" t="str">
        <f>IF(ISNA(VLOOKUP(Tableau13[[#This Row],[Code]],'Code Véhicule'!$A$4:$D$185,4,0))," ",VLOOKUP(Tableau13[[#This Row],[Code]],'Code Véhicule'!$A$4:$D$185,4,0))</f>
        <v>-</v>
      </c>
      <c r="F447" s="36">
        <v>23957</v>
      </c>
      <c r="G447" s="38" t="s">
        <v>511</v>
      </c>
      <c r="H447" s="38" t="s">
        <v>687</v>
      </c>
      <c r="I447" s="36" t="s">
        <v>304</v>
      </c>
      <c r="J447" s="39" t="s">
        <v>894</v>
      </c>
      <c r="K447" s="36">
        <v>156032</v>
      </c>
      <c r="L447" s="40">
        <v>570</v>
      </c>
      <c r="M447" s="40">
        <v>570</v>
      </c>
      <c r="N447" s="41">
        <v>44194</v>
      </c>
      <c r="O447" s="45"/>
      <c r="P447" s="45"/>
      <c r="Q447" s="176" t="e">
        <f>MONTH([1]!Tableau13[[#This Row],[Date début]])</f>
        <v>#REF!</v>
      </c>
      <c r="R447" s="180" t="e">
        <f>YEAR([1]!Tableau13[[#This Row],[Date début]])</f>
        <v>#REF!</v>
      </c>
    </row>
    <row r="448" spans="1:18" ht="30" customHeight="1">
      <c r="A448" s="35">
        <v>44192</v>
      </c>
      <c r="B448" s="36">
        <v>426</v>
      </c>
      <c r="C448" s="37" t="str">
        <f>IF(ISNA(VLOOKUP(Tableau13[[#This Row],[Code]],'Code Véhicule'!$A$4:$C$185,2,0)),"",VLOOKUP(Tableau13[[#This Row],[Code]],'Code Véhicule'!$A$4:$C$185,2,0))</f>
        <v>Chariot elevateur</v>
      </c>
      <c r="D448" s="38" t="str">
        <f>IF(ISNA(VLOOKUP(Tableau13[[#This Row],[Code]],'Code Véhicule'!$A$4:$C$185,3,0)),"",VLOOKUP(Tableau13[[#This Row],[Code]],'Code Véhicule'!$A$4:$C$185,3,0))</f>
        <v>Manitou MC 30</v>
      </c>
      <c r="E448" s="36" t="str">
        <f>IF(ISNA(VLOOKUP(Tableau13[[#This Row],[Code]],'Code Véhicule'!$A$4:$D$185,4,0))," ",VLOOKUP(Tableau13[[#This Row],[Code]],'Code Véhicule'!$A$4:$D$185,4,0))</f>
        <v>-</v>
      </c>
      <c r="F448" s="36">
        <v>23954</v>
      </c>
      <c r="G448" s="38" t="s">
        <v>393</v>
      </c>
      <c r="H448" s="38" t="s">
        <v>608</v>
      </c>
      <c r="I448" s="36" t="s">
        <v>302</v>
      </c>
      <c r="J448" s="39" t="s">
        <v>969</v>
      </c>
      <c r="K448" s="36">
        <v>156028</v>
      </c>
      <c r="L448" s="40">
        <v>60</v>
      </c>
      <c r="M448" s="40">
        <v>60</v>
      </c>
      <c r="N448" s="41">
        <v>44192</v>
      </c>
      <c r="O448" s="45"/>
      <c r="P448" s="45"/>
      <c r="Q448" s="176" t="e">
        <f>MONTH([1]!Tableau13[[#This Row],[Date début]])</f>
        <v>#REF!</v>
      </c>
      <c r="R448" s="180" t="e">
        <f>YEAR([1]!Tableau13[[#This Row],[Date début]])</f>
        <v>#REF!</v>
      </c>
    </row>
    <row r="449" spans="1:18" ht="30" customHeight="1">
      <c r="A449" s="35">
        <v>44193</v>
      </c>
      <c r="B449" s="36">
        <v>434</v>
      </c>
      <c r="C449" s="37" t="str">
        <f>IF(ISNA(VLOOKUP(Tableau13[[#This Row],[Code]],'Code Véhicule'!$A$4:$C$185,2,0)),"",VLOOKUP(Tableau13[[#This Row],[Code]],'Code Véhicule'!$A$4:$C$185,2,0))</f>
        <v>Chariot elevateur</v>
      </c>
      <c r="D449" s="38" t="str">
        <f>IF(ISNA(VLOOKUP(Tableau13[[#This Row],[Code]],'Code Véhicule'!$A$4:$C$185,3,0)),"",VLOOKUP(Tableau13[[#This Row],[Code]],'Code Véhicule'!$A$4:$C$185,3,0))</f>
        <v>Linde H30D</v>
      </c>
      <c r="E449" s="36" t="str">
        <f>IF(ISNA(VLOOKUP(Tableau13[[#This Row],[Code]],'Code Véhicule'!$A$4:$D$185,4,0))," ",VLOOKUP(Tableau13[[#This Row],[Code]],'Code Véhicule'!$A$4:$D$185,4,0))</f>
        <v>-</v>
      </c>
      <c r="F449" s="36">
        <v>23955</v>
      </c>
      <c r="G449" s="38" t="s">
        <v>511</v>
      </c>
      <c r="H449" s="38" t="s">
        <v>687</v>
      </c>
      <c r="I449" s="36" t="s">
        <v>304</v>
      </c>
      <c r="J449" s="39" t="s">
        <v>890</v>
      </c>
      <c r="K449" s="36">
        <v>156031</v>
      </c>
      <c r="L449" s="40">
        <v>120</v>
      </c>
      <c r="M449" s="40">
        <v>120</v>
      </c>
      <c r="N449" s="41">
        <v>44193</v>
      </c>
      <c r="O449" s="45"/>
      <c r="P449" s="45"/>
      <c r="Q449" s="176" t="e">
        <f>MONTH([1]!Tableau13[[#This Row],[Date début]])</f>
        <v>#REF!</v>
      </c>
      <c r="R449" s="180" t="e">
        <f>YEAR([1]!Tableau13[[#This Row],[Date début]])</f>
        <v>#REF!</v>
      </c>
    </row>
    <row r="450" spans="1:18" ht="30">
      <c r="A450" s="35">
        <v>44193</v>
      </c>
      <c r="B450" s="36">
        <v>471</v>
      </c>
      <c r="C450" s="37" t="str">
        <f>IF(ISNA(VLOOKUP(Tableau13[[#This Row],[Code]],'Code Véhicule'!$A$4:$C$185,2,0)),"",VLOOKUP(Tableau13[[#This Row],[Code]],'Code Véhicule'!$A$4:$C$185,2,0))</f>
        <v>Bus de transport</v>
      </c>
      <c r="D450" s="38" t="str">
        <f>IF(ISNA(VLOOKUP(Tableau13[[#This Row],[Code]],'Code Véhicule'!$A$4:$C$185,3,0)),"",VLOOKUP(Tableau13[[#This Row],[Code]],'Code Véhicule'!$A$4:$C$185,3,0))</f>
        <v xml:space="preserve">Hyundai County </v>
      </c>
      <c r="E450" s="36" t="str">
        <f>IF(ISNA(VLOOKUP(Tableau13[[#This Row],[Code]],'Code Véhicule'!$A$4:$D$185,4,0))," ",VLOOKUP(Tableau13[[#This Row],[Code]],'Code Véhicule'!$A$4:$D$185,4,0))</f>
        <v>18516-A-73</v>
      </c>
      <c r="F450" s="36">
        <v>23956</v>
      </c>
      <c r="G450" s="38" t="s">
        <v>545</v>
      </c>
      <c r="H450" s="38" t="s">
        <v>891</v>
      </c>
      <c r="I450" s="36" t="s">
        <v>304</v>
      </c>
      <c r="J450" s="39" t="s">
        <v>892</v>
      </c>
      <c r="K450" s="36" t="s">
        <v>893</v>
      </c>
      <c r="L450" s="40">
        <v>570</v>
      </c>
      <c r="M450" s="40">
        <v>570</v>
      </c>
      <c r="N450" s="41">
        <v>44197</v>
      </c>
      <c r="O450" s="45"/>
      <c r="P450" s="45"/>
      <c r="Q450" s="176" t="e">
        <f>MONTH([1]!Tableau13[[#This Row],[Date début]])</f>
        <v>#REF!</v>
      </c>
      <c r="R450" s="180" t="e">
        <f>YEAR([1]!Tableau13[[#This Row],[Date début]])</f>
        <v>#REF!</v>
      </c>
    </row>
    <row r="451" spans="1:18" ht="30" customHeight="1">
      <c r="A451" s="35">
        <v>44194</v>
      </c>
      <c r="B451" s="36">
        <v>427</v>
      </c>
      <c r="C451" s="37" t="str">
        <f>IF(ISNA(VLOOKUP(Tableau13[[#This Row],[Code]],'Code Véhicule'!$A$4:$C$185,2,0)),"",VLOOKUP(Tableau13[[#This Row],[Code]],'Code Véhicule'!$A$4:$C$185,2,0))</f>
        <v>Chariot elevateur</v>
      </c>
      <c r="D451" s="38" t="str">
        <f>IF(ISNA(VLOOKUP(Tableau13[[#This Row],[Code]],'Code Véhicule'!$A$4:$C$185,3,0)),"",VLOOKUP(Tableau13[[#This Row],[Code]],'Code Véhicule'!$A$4:$C$185,3,0))</f>
        <v>Linde H30</v>
      </c>
      <c r="E451" s="36" t="str">
        <f>IF(ISNA(VLOOKUP(Tableau13[[#This Row],[Code]],'Code Véhicule'!$A$4:$D$185,4,0))," ",VLOOKUP(Tableau13[[#This Row],[Code]],'Code Véhicule'!$A$4:$D$185,4,0))</f>
        <v>-</v>
      </c>
      <c r="F451" s="36">
        <v>23958</v>
      </c>
      <c r="G451" s="38" t="s">
        <v>511</v>
      </c>
      <c r="H451" s="38" t="s">
        <v>672</v>
      </c>
      <c r="I451" s="36" t="s">
        <v>304</v>
      </c>
      <c r="J451" s="39" t="s">
        <v>895</v>
      </c>
      <c r="K451" s="36">
        <v>156034</v>
      </c>
      <c r="L451" s="40">
        <v>120</v>
      </c>
      <c r="M451" s="40">
        <v>120</v>
      </c>
      <c r="N451" s="41">
        <v>44194</v>
      </c>
      <c r="O451" s="45"/>
      <c r="P451" s="45"/>
      <c r="Q451" s="176" t="e">
        <f>MONTH([1]!Tableau13[[#This Row],[Date début]])</f>
        <v>#REF!</v>
      </c>
      <c r="R451" s="180" t="e">
        <f>YEAR([1]!Tableau13[[#This Row],[Date début]])</f>
        <v>#REF!</v>
      </c>
    </row>
    <row r="452" spans="1:18" ht="15.75" customHeight="1">
      <c r="A452" s="35">
        <v>44194</v>
      </c>
      <c r="B452" s="36">
        <v>480</v>
      </c>
      <c r="C452" s="37" t="str">
        <f>IF(ISNA(VLOOKUP(Tableau13[[#This Row],[Code]],'Code Véhicule'!$A$4:$C$185,2,0)),"",VLOOKUP(Tableau13[[#This Row],[Code]],'Code Véhicule'!$A$4:$C$185,2,0))</f>
        <v>Camion</v>
      </c>
      <c r="D452" s="38" t="str">
        <f>IF(ISNA(VLOOKUP(Tableau13[[#This Row],[Code]],'Code Véhicule'!$A$4:$C$185,3,0)),"",VLOOKUP(Tableau13[[#This Row],[Code]],'Code Véhicule'!$A$4:$C$185,3,0))</f>
        <v>VOLVO</v>
      </c>
      <c r="E452" s="36" t="str">
        <f>IF(ISNA(VLOOKUP(Tableau13[[#This Row],[Code]],'Code Véhicule'!$A$4:$D$185,4,0))," ",VLOOKUP(Tableau13[[#This Row],[Code]],'Code Véhicule'!$A$4:$D$185,4,0))</f>
        <v>22299-A-73</v>
      </c>
      <c r="F452" s="36">
        <v>23959</v>
      </c>
      <c r="G452" s="38" t="s">
        <v>560</v>
      </c>
      <c r="H452" s="38" t="s">
        <v>604</v>
      </c>
      <c r="I452" s="36" t="s">
        <v>304</v>
      </c>
      <c r="J452" s="39" t="s">
        <v>547</v>
      </c>
      <c r="K452" s="36">
        <v>1566035</v>
      </c>
      <c r="L452" s="40">
        <v>60</v>
      </c>
      <c r="M452" s="40">
        <v>60</v>
      </c>
      <c r="N452" s="41">
        <v>44194</v>
      </c>
      <c r="O452" s="45"/>
      <c r="P452" s="45"/>
      <c r="Q452" s="176" t="e">
        <f>MONTH([1]!Tableau13[[#This Row],[Date début]])</f>
        <v>#REF!</v>
      </c>
      <c r="R452" s="180" t="e">
        <f>YEAR([1]!Tableau13[[#This Row],[Date début]])</f>
        <v>#REF!</v>
      </c>
    </row>
    <row r="453" spans="1:18" ht="15.75" customHeight="1">
      <c r="A453" s="35">
        <v>44195</v>
      </c>
      <c r="B453" s="36">
        <v>410</v>
      </c>
      <c r="C453" s="37" t="str">
        <f>IF(ISNA(VLOOKUP(Tableau13[[#This Row],[Code]],'Code Véhicule'!$A$4:$C$185,2,0)),"",VLOOKUP(Tableau13[[#This Row],[Code]],'Code Véhicule'!$A$4:$C$185,2,0))</f>
        <v>Semi remorque</v>
      </c>
      <c r="D453" s="38" t="str">
        <f>IF(ISNA(VLOOKUP(Tableau13[[#This Row],[Code]],'Code Véhicule'!$A$4:$C$185,3,0)),"",VLOOKUP(Tableau13[[#This Row],[Code]],'Code Véhicule'!$A$4:$C$185,3,0))</f>
        <v>MAN</v>
      </c>
      <c r="E453" s="36" t="str">
        <f>IF(ISNA(VLOOKUP(Tableau13[[#This Row],[Code]],'Code Véhicule'!$A$4:$D$185,4,0))," ",VLOOKUP(Tableau13[[#This Row],[Code]],'Code Véhicule'!$A$4:$D$185,4,0))</f>
        <v xml:space="preserve">28659-D-1 </v>
      </c>
      <c r="F453" s="36">
        <v>23960</v>
      </c>
      <c r="G453" s="38" t="s">
        <v>393</v>
      </c>
      <c r="H453" s="38" t="s">
        <v>896</v>
      </c>
      <c r="I453" s="36" t="s">
        <v>302</v>
      </c>
      <c r="J453" s="39" t="s">
        <v>897</v>
      </c>
      <c r="K453" s="36">
        <v>156037</v>
      </c>
      <c r="L453" s="40">
        <v>30</v>
      </c>
      <c r="M453" s="40">
        <v>30</v>
      </c>
      <c r="N453" s="41">
        <v>44195</v>
      </c>
      <c r="O453" s="45"/>
      <c r="P453" s="45"/>
      <c r="Q453" s="176" t="e">
        <f>MONTH([1]!Tableau13[[#This Row],[Date début]])</f>
        <v>#REF!</v>
      </c>
      <c r="R453" s="180" t="e">
        <f>YEAR([1]!Tableau13[[#This Row],[Date début]])</f>
        <v>#REF!</v>
      </c>
    </row>
    <row r="454" spans="1:18" ht="15.75" customHeight="1">
      <c r="A454" s="35">
        <v>44195</v>
      </c>
      <c r="B454" s="36"/>
      <c r="C454" s="37" t="s">
        <v>597</v>
      </c>
      <c r="D454" s="38" t="str">
        <f>IF(ISNA(VLOOKUP(Tableau13[[#This Row],[Code]],'Code Véhicule'!$A$4:$C$185,3,0)),"",VLOOKUP(Tableau13[[#This Row],[Code]],'Code Véhicule'!$A$4:$C$185,3,0))</f>
        <v/>
      </c>
      <c r="E454" s="36" t="str">
        <f>IF(ISNA(VLOOKUP(Tableau13[[#This Row],[Code]],'Code Véhicule'!$A$4:$D$185,4,0))," ",VLOOKUP(Tableau13[[#This Row],[Code]],'Code Véhicule'!$A$4:$D$185,4,0))</f>
        <v xml:space="preserve"> </v>
      </c>
      <c r="F454" s="36">
        <v>23961</v>
      </c>
      <c r="G454" s="38"/>
      <c r="H454" s="38" t="s">
        <v>903</v>
      </c>
      <c r="I454" s="36" t="s">
        <v>304</v>
      </c>
      <c r="J454" s="39" t="s">
        <v>898</v>
      </c>
      <c r="K454" s="36">
        <v>156038</v>
      </c>
      <c r="L454" s="40">
        <v>30</v>
      </c>
      <c r="M454" s="40">
        <v>30</v>
      </c>
      <c r="N454" s="41">
        <v>44195</v>
      </c>
      <c r="O454" s="45"/>
      <c r="P454" s="45"/>
      <c r="Q454" s="176" t="e">
        <f>MONTH([1]!Tableau13[[#This Row],[Date début]])</f>
        <v>#REF!</v>
      </c>
      <c r="R454" s="180" t="e">
        <f>YEAR([1]!Tableau13[[#This Row],[Date début]])</f>
        <v>#REF!</v>
      </c>
    </row>
    <row r="455" spans="1:18" ht="15.75" customHeight="1">
      <c r="A455" s="35">
        <v>44195</v>
      </c>
      <c r="B455" s="36">
        <v>411</v>
      </c>
      <c r="C455" s="37" t="str">
        <f>IF(ISNA(VLOOKUP(Tableau13[[#This Row],[Code]],'Code Véhicule'!$A$4:$C$185,2,0)),"",VLOOKUP(Tableau13[[#This Row],[Code]],'Code Véhicule'!$A$4:$C$185,2,0))</f>
        <v>Camion</v>
      </c>
      <c r="D455" s="38" t="str">
        <f>IF(ISNA(VLOOKUP(Tableau13[[#This Row],[Code]],'Code Véhicule'!$A$4:$C$185,3,0)),"",VLOOKUP(Tableau13[[#This Row],[Code]],'Code Véhicule'!$A$4:$C$185,3,0))</f>
        <v>Renault</v>
      </c>
      <c r="E455" s="36" t="str">
        <f>IF(ISNA(VLOOKUP(Tableau13[[#This Row],[Code]],'Code Véhicule'!$A$4:$D$185,4,0))," ",VLOOKUP(Tableau13[[#This Row],[Code]],'Code Véhicule'!$A$4:$D$185,4,0))</f>
        <v>25636-A-13</v>
      </c>
      <c r="F455" s="36">
        <v>23962</v>
      </c>
      <c r="G455" s="38" t="s">
        <v>560</v>
      </c>
      <c r="H455" s="38" t="s">
        <v>604</v>
      </c>
      <c r="I455" s="36" t="s">
        <v>304</v>
      </c>
      <c r="J455" s="39" t="s">
        <v>786</v>
      </c>
      <c r="K455" s="36">
        <v>156040</v>
      </c>
      <c r="L455" s="40">
        <v>30</v>
      </c>
      <c r="M455" s="40">
        <v>30</v>
      </c>
      <c r="N455" s="41">
        <v>44196</v>
      </c>
      <c r="O455" s="45"/>
      <c r="P455" s="45"/>
      <c r="Q455" s="176" t="e">
        <f>MONTH([1]!Tableau13[[#This Row],[Date début]])</f>
        <v>#REF!</v>
      </c>
      <c r="R455" s="180" t="e">
        <f>YEAR([1]!Tableau13[[#This Row],[Date début]])</f>
        <v>#REF!</v>
      </c>
    </row>
    <row r="456" spans="1:18" ht="30" customHeight="1">
      <c r="A456" s="35">
        <v>44196</v>
      </c>
      <c r="B456" s="36">
        <v>433</v>
      </c>
      <c r="C456" s="37" t="str">
        <f>IF(ISNA(VLOOKUP(Tableau13[[#This Row],[Code]],'Code Véhicule'!$A$4:$C$185,2,0)),"",VLOOKUP(Tableau13[[#This Row],[Code]],'Code Véhicule'!$A$4:$C$185,2,0))</f>
        <v>Voiture de fonction</v>
      </c>
      <c r="D456" s="38" t="str">
        <f>IF(ISNA(VLOOKUP(Tableau13[[#This Row],[Code]],'Code Véhicule'!$A$4:$C$185,3,0)),"",VLOOKUP(Tableau13[[#This Row],[Code]],'Code Véhicule'!$A$4:$C$185,3,0))</f>
        <v>Berlingo</v>
      </c>
      <c r="E456" s="36" t="str">
        <f>IF(ISNA(VLOOKUP(Tableau13[[#This Row],[Code]],'Code Véhicule'!$A$4:$D$185,4,0))," ",VLOOKUP(Tableau13[[#This Row],[Code]],'Code Véhicule'!$A$4:$D$185,4,0))</f>
        <v>10551-A-73</v>
      </c>
      <c r="F456" s="36">
        <v>23963</v>
      </c>
      <c r="G456" s="38" t="s">
        <v>556</v>
      </c>
      <c r="H456" s="38" t="s">
        <v>608</v>
      </c>
      <c r="I456" s="36" t="s">
        <v>302</v>
      </c>
      <c r="J456" s="39" t="s">
        <v>899</v>
      </c>
      <c r="K456" s="36">
        <v>156045</v>
      </c>
      <c r="L456" s="40">
        <v>60</v>
      </c>
      <c r="M456" s="40">
        <v>60</v>
      </c>
      <c r="N456" s="41">
        <v>44196</v>
      </c>
      <c r="O456" s="45"/>
      <c r="P456" s="45"/>
      <c r="Q456" s="176" t="e">
        <f>MONTH([1]!Tableau13[[#This Row],[Date début]])</f>
        <v>#REF!</v>
      </c>
      <c r="R456" s="180" t="e">
        <f>YEAR([1]!Tableau13[[#This Row],[Date début]])</f>
        <v>#REF!</v>
      </c>
    </row>
    <row r="457" spans="1:18" ht="135" customHeight="1">
      <c r="A457" s="35">
        <v>44197</v>
      </c>
      <c r="B457" s="36">
        <v>428</v>
      </c>
      <c r="C457" s="37" t="str">
        <f>IF(ISNA(VLOOKUP(Tableau13[[#This Row],[Code]],'Code Véhicule'!$A$4:$C$185,2,0)),"",VLOOKUP(Tableau13[[#This Row],[Code]],'Code Véhicule'!$A$4:$C$185,2,0))</f>
        <v>Chariot elevateur</v>
      </c>
      <c r="D457" s="38" t="str">
        <f>IF(ISNA(VLOOKUP(Tableau13[[#This Row],[Code]],'Code Véhicule'!$A$4:$C$185,3,0)),"",VLOOKUP(Tableau13[[#This Row],[Code]],'Code Véhicule'!$A$4:$C$185,3,0))</f>
        <v>Linde H30</v>
      </c>
      <c r="E457" s="36" t="str">
        <f>IF(ISNA(VLOOKUP(Tableau13[[#This Row],[Code]],'Code Véhicule'!$A$4:$D$185,4,0))," ",VLOOKUP(Tableau13[[#This Row],[Code]],'Code Véhicule'!$A$4:$D$185,4,0))</f>
        <v>-</v>
      </c>
      <c r="F457" s="36">
        <v>23965</v>
      </c>
      <c r="G457" s="38" t="s">
        <v>493</v>
      </c>
      <c r="H457" s="38" t="s">
        <v>721</v>
      </c>
      <c r="I457" s="36" t="s">
        <v>304</v>
      </c>
      <c r="J457" s="39" t="s">
        <v>905</v>
      </c>
      <c r="K457" s="36" t="s">
        <v>906</v>
      </c>
      <c r="L457" s="40">
        <f>540*6</f>
        <v>3240</v>
      </c>
      <c r="M457" s="40">
        <v>14040</v>
      </c>
      <c r="N457" s="41">
        <v>44226</v>
      </c>
      <c r="O457" s="45"/>
      <c r="P457" s="45"/>
      <c r="Q457" s="176" t="e">
        <f>MONTH([1]!Tableau13[[#This Row],[Date début]])</f>
        <v>#REF!</v>
      </c>
      <c r="R457" s="180" t="e">
        <f>YEAR([1]!Tableau13[[#This Row],[Date début]])</f>
        <v>#REF!</v>
      </c>
    </row>
    <row r="458" spans="1:18" ht="180" customHeight="1">
      <c r="A458" s="35">
        <v>44197</v>
      </c>
      <c r="B458" s="36">
        <v>428</v>
      </c>
      <c r="C458" s="37" t="str">
        <f>IF(ISNA(VLOOKUP(Tableau13[[#This Row],[Code]],'Code Véhicule'!$A$4:$C$185,2,0)),"",VLOOKUP(Tableau13[[#This Row],[Code]],'Code Véhicule'!$A$4:$C$185,2,0))</f>
        <v>Chariot elevateur</v>
      </c>
      <c r="D458" s="38" t="str">
        <f>IF(ISNA(VLOOKUP(Tableau13[[#This Row],[Code]],'Code Véhicule'!$A$4:$C$185,3,0)),"",VLOOKUP(Tableau13[[#This Row],[Code]],'Code Véhicule'!$A$4:$C$185,3,0))</f>
        <v>Linde H30</v>
      </c>
      <c r="E458" s="36" t="str">
        <f>IF(ISNA(VLOOKUP(Tableau13[[#This Row],[Code]],'Code Véhicule'!$A$4:$D$185,4,0))," ",VLOOKUP(Tableau13[[#This Row],[Code]],'Code Véhicule'!$A$4:$D$185,4,0))</f>
        <v>-</v>
      </c>
      <c r="F458" s="36">
        <v>24119</v>
      </c>
      <c r="G458" s="38" t="s">
        <v>493</v>
      </c>
      <c r="H458" s="38" t="s">
        <v>721</v>
      </c>
      <c r="I458" s="36" t="s">
        <v>304</v>
      </c>
      <c r="J458" s="39" t="s">
        <v>982</v>
      </c>
      <c r="K458" s="36" t="s">
        <v>983</v>
      </c>
      <c r="L458" s="40">
        <f>570*8</f>
        <v>4560</v>
      </c>
      <c r="M458" s="40">
        <v>14800</v>
      </c>
      <c r="N458" s="41">
        <v>44284</v>
      </c>
      <c r="O458" s="45"/>
      <c r="P458" s="45"/>
      <c r="Q458" s="176" t="e">
        <f>MONTH([1]!Tableau13[[#This Row],[Date début]])</f>
        <v>#REF!</v>
      </c>
      <c r="R458" s="180" t="e">
        <f>YEAR([1]!Tableau13[[#This Row],[Date début]])</f>
        <v>#REF!</v>
      </c>
    </row>
    <row r="459" spans="1:18" ht="30" customHeight="1">
      <c r="A459" s="35">
        <v>44198</v>
      </c>
      <c r="B459" s="36">
        <v>427</v>
      </c>
      <c r="C459" s="37" t="str">
        <f>IF(ISNA(VLOOKUP(Tableau13[[#This Row],[Code]],'Code Véhicule'!$A$4:$C$185,2,0)),"",VLOOKUP(Tableau13[[#This Row],[Code]],'Code Véhicule'!$A$4:$C$185,2,0))</f>
        <v>Chariot elevateur</v>
      </c>
      <c r="D459" s="38" t="str">
        <f>IF(ISNA(VLOOKUP(Tableau13[[#This Row],[Code]],'Code Véhicule'!$A$4:$C$185,3,0)),"",VLOOKUP(Tableau13[[#This Row],[Code]],'Code Véhicule'!$A$4:$C$185,3,0))</f>
        <v>Linde H30</v>
      </c>
      <c r="E459" s="36" t="str">
        <f>IF(ISNA(VLOOKUP(Tableau13[[#This Row],[Code]],'Code Véhicule'!$A$4:$D$185,4,0))," ",VLOOKUP(Tableau13[[#This Row],[Code]],'Code Véhicule'!$A$4:$D$185,4,0))</f>
        <v>-</v>
      </c>
      <c r="F459" s="36">
        <v>23964</v>
      </c>
      <c r="G459" s="38" t="s">
        <v>900</v>
      </c>
      <c r="H459" s="38" t="s">
        <v>901</v>
      </c>
      <c r="I459" s="36" t="s">
        <v>304</v>
      </c>
      <c r="J459" s="39" t="s">
        <v>904</v>
      </c>
      <c r="K459" s="36">
        <v>156044</v>
      </c>
      <c r="L459" s="40">
        <v>1710</v>
      </c>
      <c r="M459" s="40">
        <v>5700</v>
      </c>
      <c r="N459" s="41">
        <v>44208</v>
      </c>
      <c r="O459" s="45"/>
      <c r="P459" s="45"/>
      <c r="Q459" s="176" t="e">
        <f>MONTH([1]!Tableau13[[#This Row],[Date début]])</f>
        <v>#REF!</v>
      </c>
      <c r="R459" s="180" t="e">
        <f>YEAR([1]!Tableau13[[#This Row],[Date début]])</f>
        <v>#REF!</v>
      </c>
    </row>
    <row r="460" spans="1:18" ht="30" customHeight="1">
      <c r="A460" s="35">
        <v>44198</v>
      </c>
      <c r="B460" s="36">
        <v>426</v>
      </c>
      <c r="C460" s="37" t="str">
        <f>IF(ISNA(VLOOKUP(Tableau13[[#This Row],[Code]],'Code Véhicule'!$A$4:$C$185,2,0)),"",VLOOKUP(Tableau13[[#This Row],[Code]],'Code Véhicule'!$A$4:$C$185,2,0))</f>
        <v>Chariot elevateur</v>
      </c>
      <c r="D460" s="38" t="str">
        <f>IF(ISNA(VLOOKUP(Tableau13[[#This Row],[Code]],'Code Véhicule'!$A$4:$C$185,3,0)),"",VLOOKUP(Tableau13[[#This Row],[Code]],'Code Véhicule'!$A$4:$C$185,3,0))</f>
        <v>Manitou MC 30</v>
      </c>
      <c r="E460" s="36" t="str">
        <f>IF(ISNA(VLOOKUP(Tableau13[[#This Row],[Code]],'Code Véhicule'!$A$4:$D$185,4,0))," ",VLOOKUP(Tableau13[[#This Row],[Code]],'Code Véhicule'!$A$4:$D$185,4,0))</f>
        <v>-</v>
      </c>
      <c r="F460" s="36">
        <v>23966</v>
      </c>
      <c r="G460" s="38" t="s">
        <v>353</v>
      </c>
      <c r="H460" s="38" t="s">
        <v>907</v>
      </c>
      <c r="I460" s="36" t="s">
        <v>304</v>
      </c>
      <c r="J460" s="39" t="s">
        <v>908</v>
      </c>
      <c r="K460" s="36">
        <v>157244</v>
      </c>
      <c r="L460" s="40">
        <v>240</v>
      </c>
      <c r="M460" s="40">
        <v>3990</v>
      </c>
      <c r="N460" s="41">
        <v>44204</v>
      </c>
      <c r="O460" s="45"/>
      <c r="P460" s="45"/>
      <c r="Q460" s="176" t="e">
        <f>MONTH([1]!Tableau13[[#This Row],[Date début]])</f>
        <v>#REF!</v>
      </c>
      <c r="R460" s="180" t="e">
        <f>YEAR([1]!Tableau13[[#This Row],[Date début]])</f>
        <v>#REF!</v>
      </c>
    </row>
    <row r="461" spans="1:18" ht="30" customHeight="1">
      <c r="A461" s="35">
        <v>44198</v>
      </c>
      <c r="B461" s="36">
        <v>401</v>
      </c>
      <c r="C461" s="37" t="str">
        <f>IF(ISNA(VLOOKUP(Tableau13[[#This Row],[Code]],'Code Véhicule'!$A$4:$C$185,2,0)),"",VLOOKUP(Tableau13[[#This Row],[Code]],'Code Véhicule'!$A$4:$C$185,2,0))</f>
        <v>Camion</v>
      </c>
      <c r="D461" s="38" t="str">
        <f>IF(ISNA(VLOOKUP(Tableau13[[#This Row],[Code]],'Code Véhicule'!$A$4:$C$185,3,0)),"",VLOOKUP(Tableau13[[#This Row],[Code]],'Code Véhicule'!$A$4:$C$185,3,0))</f>
        <v>ISUZU</v>
      </c>
      <c r="E461" s="36" t="str">
        <f>IF(ISNA(VLOOKUP(Tableau13[[#This Row],[Code]],'Code Véhicule'!$A$4:$D$185,4,0))," ",VLOOKUP(Tableau13[[#This Row],[Code]],'Code Véhicule'!$A$4:$D$185,4,0))</f>
        <v>26128-A-8</v>
      </c>
      <c r="F461" s="36">
        <v>23970</v>
      </c>
      <c r="G461" s="38" t="s">
        <v>511</v>
      </c>
      <c r="H461" s="38" t="s">
        <v>672</v>
      </c>
      <c r="I461" s="36" t="s">
        <v>304</v>
      </c>
      <c r="J461" s="39" t="s">
        <v>913</v>
      </c>
      <c r="K461" s="36">
        <v>154721</v>
      </c>
      <c r="L461" s="40">
        <v>240</v>
      </c>
      <c r="M461" s="40">
        <v>240</v>
      </c>
      <c r="N461" s="41">
        <v>44198</v>
      </c>
      <c r="O461" s="45"/>
      <c r="P461" s="45"/>
      <c r="Q461" s="176" t="e">
        <f>MONTH([1]!Tableau13[[#This Row],[Date début]])</f>
        <v>#REF!</v>
      </c>
      <c r="R461" s="180" t="e">
        <f>YEAR([1]!Tableau13[[#This Row],[Date début]])</f>
        <v>#REF!</v>
      </c>
    </row>
    <row r="462" spans="1:18" ht="15.75" customHeight="1">
      <c r="A462" s="35">
        <v>44201</v>
      </c>
      <c r="B462" s="36">
        <v>430</v>
      </c>
      <c r="C462" s="37" t="str">
        <f>IF(ISNA(VLOOKUP(Tableau13[[#This Row],[Code]],'Code Véhicule'!$A$4:$C$185,2,0)),"",VLOOKUP(Tableau13[[#This Row],[Code]],'Code Véhicule'!$A$4:$C$185,2,0))</f>
        <v>Chariot elevateur</v>
      </c>
      <c r="D462" s="38" t="str">
        <f>IF(ISNA(VLOOKUP(Tableau13[[#This Row],[Code]],'Code Véhicule'!$A$4:$C$185,3,0)),"",VLOOKUP(Tableau13[[#This Row],[Code]],'Code Véhicule'!$A$4:$C$185,3,0))</f>
        <v>Fenwick  H40</v>
      </c>
      <c r="E462" s="36" t="str">
        <f>IF(ISNA(VLOOKUP(Tableau13[[#This Row],[Code]],'Code Véhicule'!$A$4:$D$185,4,0))," ",VLOOKUP(Tableau13[[#This Row],[Code]],'Code Véhicule'!$A$4:$D$185,4,0))</f>
        <v>-</v>
      </c>
      <c r="F462" s="36">
        <v>23967</v>
      </c>
      <c r="G462" s="38" t="s">
        <v>393</v>
      </c>
      <c r="H462" s="38" t="s">
        <v>613</v>
      </c>
      <c r="I462" s="36" t="s">
        <v>302</v>
      </c>
      <c r="J462" s="39" t="s">
        <v>909</v>
      </c>
      <c r="K462" s="36">
        <v>156307</v>
      </c>
      <c r="L462" s="40">
        <v>30</v>
      </c>
      <c r="M462" s="40">
        <v>30</v>
      </c>
      <c r="N462" s="41">
        <v>44201</v>
      </c>
      <c r="O462" s="45"/>
      <c r="P462" s="45"/>
      <c r="Q462" s="176" t="e">
        <f>MONTH([1]!Tableau13[[#This Row],[Date début]])</f>
        <v>#REF!</v>
      </c>
      <c r="R462" s="180" t="e">
        <f>YEAR([1]!Tableau13[[#This Row],[Date début]])</f>
        <v>#REF!</v>
      </c>
    </row>
    <row r="463" spans="1:18" ht="120" customHeight="1">
      <c r="A463" s="35">
        <v>44202</v>
      </c>
      <c r="B463" s="36">
        <v>429</v>
      </c>
      <c r="C463" s="37" t="str">
        <f>IF(ISNA(VLOOKUP(Tableau13[[#This Row],[Code]],'Code Véhicule'!$A$4:$C$185,2,0)),"",VLOOKUP(Tableau13[[#This Row],[Code]],'Code Véhicule'!$A$4:$C$185,2,0))</f>
        <v>Chariot elevateur</v>
      </c>
      <c r="D463" s="38" t="str">
        <f>IF(ISNA(VLOOKUP(Tableau13[[#This Row],[Code]],'Code Véhicule'!$A$4:$C$185,3,0)),"",VLOOKUP(Tableau13[[#This Row],[Code]],'Code Véhicule'!$A$4:$C$185,3,0))</f>
        <v>Fenwick HD30</v>
      </c>
      <c r="E463" s="36" t="str">
        <f>IF(ISNA(VLOOKUP(Tableau13[[#This Row],[Code]],'Code Véhicule'!$A$4:$D$185,4,0))," ",VLOOKUP(Tableau13[[#This Row],[Code]],'Code Véhicule'!$A$4:$D$185,4,0))</f>
        <v>-</v>
      </c>
      <c r="F463" s="36">
        <v>23996</v>
      </c>
      <c r="G463" s="38" t="s">
        <v>402</v>
      </c>
      <c r="H463" s="38" t="s">
        <v>685</v>
      </c>
      <c r="I463" s="36" t="s">
        <v>304</v>
      </c>
      <c r="J463" s="39" t="s">
        <v>971</v>
      </c>
      <c r="K463" s="36" t="s">
        <v>947</v>
      </c>
      <c r="L463" s="40">
        <v>1710</v>
      </c>
      <c r="M463" s="40">
        <v>5700</v>
      </c>
      <c r="N463" s="41">
        <v>44212</v>
      </c>
      <c r="O463" s="45"/>
      <c r="P463" s="45"/>
      <c r="Q463" s="176" t="e">
        <f>MONTH([1]!Tableau13[[#This Row],[Date début]])</f>
        <v>#REF!</v>
      </c>
      <c r="R463" s="180" t="e">
        <f>YEAR([1]!Tableau13[[#This Row],[Date début]])</f>
        <v>#REF!</v>
      </c>
    </row>
    <row r="464" spans="1:18" ht="15.75" customHeight="1">
      <c r="A464" s="35">
        <v>44203</v>
      </c>
      <c r="B464" s="36">
        <v>408</v>
      </c>
      <c r="C464" s="37" t="str">
        <f>IF(ISNA(VLOOKUP(Tableau13[[#This Row],[Code]],'Code Véhicule'!$A$4:$C$185,2,0)),"",VLOOKUP(Tableau13[[#This Row],[Code]],'Code Véhicule'!$A$4:$C$185,2,0))</f>
        <v>Camion</v>
      </c>
      <c r="D464" s="38" t="str">
        <f>IF(ISNA(VLOOKUP(Tableau13[[#This Row],[Code]],'Code Véhicule'!$A$4:$C$185,3,0)),"",VLOOKUP(Tableau13[[#This Row],[Code]],'Code Véhicule'!$A$4:$C$185,3,0))</f>
        <v>Mitsubishi</v>
      </c>
      <c r="E464" s="36" t="str">
        <f>IF(ISNA(VLOOKUP(Tableau13[[#This Row],[Code]],'Code Véhicule'!$A$4:$D$185,4,0))," ",VLOOKUP(Tableau13[[#This Row],[Code]],'Code Véhicule'!$A$4:$D$185,4,0))</f>
        <v>4703-A-73</v>
      </c>
      <c r="F464" s="36">
        <v>23984</v>
      </c>
      <c r="G464" s="38" t="s">
        <v>932</v>
      </c>
      <c r="H464" s="38" t="s">
        <v>933</v>
      </c>
      <c r="I464" s="36" t="s">
        <v>304</v>
      </c>
      <c r="J464" s="39" t="s">
        <v>934</v>
      </c>
      <c r="K464" s="36">
        <v>165337</v>
      </c>
      <c r="L464" s="40">
        <v>1140</v>
      </c>
      <c r="M464" s="40">
        <v>3990</v>
      </c>
      <c r="N464" s="41">
        <v>44217</v>
      </c>
      <c r="O464" s="45"/>
      <c r="P464" s="45"/>
      <c r="Q464" s="176" t="e">
        <f>MONTH([1]!Tableau13[[#This Row],[Date début]])</f>
        <v>#REF!</v>
      </c>
      <c r="R464" s="180" t="e">
        <f>YEAR([1]!Tableau13[[#This Row],[Date début]])</f>
        <v>#REF!</v>
      </c>
    </row>
    <row r="465" spans="1:18" ht="30" customHeight="1">
      <c r="A465" s="35">
        <v>44203</v>
      </c>
      <c r="B465" s="36">
        <v>406</v>
      </c>
      <c r="C465" s="37" t="str">
        <f>IF(ISNA(VLOOKUP(Tableau13[[#This Row],[Code]],'Code Véhicule'!$A$4:$C$185,2,0)),"",VLOOKUP(Tableau13[[#This Row],[Code]],'Code Véhicule'!$A$4:$C$185,2,0))</f>
        <v>Semi remorque</v>
      </c>
      <c r="D465" s="38" t="str">
        <f>IF(ISNA(VLOOKUP(Tableau13[[#This Row],[Code]],'Code Véhicule'!$A$4:$C$185,3,0)),"",VLOOKUP(Tableau13[[#This Row],[Code]],'Code Véhicule'!$A$4:$C$185,3,0))</f>
        <v>VOLVO</v>
      </c>
      <c r="E465" s="36" t="str">
        <f>IF(ISNA(VLOOKUP(Tableau13[[#This Row],[Code]],'Code Véhicule'!$A$4:$D$185,4,0))," ",VLOOKUP(Tableau13[[#This Row],[Code]],'Code Véhicule'!$A$4:$D$185,4,0))</f>
        <v>70352-A-6</v>
      </c>
      <c r="F465" s="36">
        <v>23985</v>
      </c>
      <c r="G465" s="38" t="s">
        <v>511</v>
      </c>
      <c r="H465" s="38" t="s">
        <v>935</v>
      </c>
      <c r="I465" s="36" t="s">
        <v>304</v>
      </c>
      <c r="J465" s="39" t="s">
        <v>936</v>
      </c>
      <c r="K465" s="36">
        <v>165341</v>
      </c>
      <c r="L465" s="40">
        <v>2280</v>
      </c>
      <c r="M465" s="40">
        <v>4560</v>
      </c>
      <c r="N465" s="41">
        <v>44213</v>
      </c>
      <c r="O465" s="45"/>
      <c r="P465" s="45"/>
      <c r="Q465" s="176" t="e">
        <f>MONTH([1]!Tableau13[[#This Row],[Date début]])</f>
        <v>#REF!</v>
      </c>
      <c r="R465" s="180" t="e">
        <f>YEAR([1]!Tableau13[[#This Row],[Date début]])</f>
        <v>#REF!</v>
      </c>
    </row>
    <row r="466" spans="1:18">
      <c r="A466" s="35">
        <v>44205</v>
      </c>
      <c r="B466" s="36">
        <v>479</v>
      </c>
      <c r="C466" s="37" t="str">
        <f>IF(ISNA(VLOOKUP(Tableau13[[#This Row],[Code]],'Code Véhicule'!$A$4:$C$185,2,0)),"",VLOOKUP(Tableau13[[#This Row],[Code]],'Code Véhicule'!$A$4:$C$185,2,0))</f>
        <v>Bus de transport</v>
      </c>
      <c r="D466" s="38" t="str">
        <f>IF(ISNA(VLOOKUP(Tableau13[[#This Row],[Code]],'Code Véhicule'!$A$4:$C$185,3,0)),"",VLOOKUP(Tableau13[[#This Row],[Code]],'Code Véhicule'!$A$4:$C$185,3,0))</f>
        <v>Hyundai County</v>
      </c>
      <c r="E466" s="36" t="str">
        <f>IF(ISNA(VLOOKUP(Tableau13[[#This Row],[Code]],'Code Véhicule'!$A$4:$D$185,4,0))," ",VLOOKUP(Tableau13[[#This Row],[Code]],'Code Véhicule'!$A$4:$D$185,4,0))</f>
        <v>22772-A-73</v>
      </c>
      <c r="F466" s="36">
        <v>23981</v>
      </c>
      <c r="G466" s="38" t="s">
        <v>393</v>
      </c>
      <c r="H466" s="38" t="s">
        <v>608</v>
      </c>
      <c r="I466" s="36" t="s">
        <v>302</v>
      </c>
      <c r="J466" s="39" t="s">
        <v>926</v>
      </c>
      <c r="K466" s="36">
        <v>156321</v>
      </c>
      <c r="L466" s="40">
        <v>120</v>
      </c>
      <c r="M466" s="40">
        <v>120</v>
      </c>
      <c r="N466" s="41">
        <v>44205</v>
      </c>
      <c r="O466" s="45"/>
      <c r="P466" s="45"/>
      <c r="Q466" s="176" t="e">
        <f>MONTH([1]!Tableau13[[#This Row],[Date début]])</f>
        <v>#REF!</v>
      </c>
      <c r="R466" s="180" t="e">
        <f>YEAR([1]!Tableau13[[#This Row],[Date début]])</f>
        <v>#REF!</v>
      </c>
    </row>
    <row r="467" spans="1:18" ht="30" customHeight="1">
      <c r="A467" s="35">
        <v>44205</v>
      </c>
      <c r="B467" s="36">
        <v>434</v>
      </c>
      <c r="C467" s="37" t="str">
        <f>IF(ISNA(VLOOKUP(Tableau13[[#This Row],[Code]],'Code Véhicule'!$A$4:$C$185,2,0)),"",VLOOKUP(Tableau13[[#This Row],[Code]],'Code Véhicule'!$A$4:$C$185,2,0))</f>
        <v>Chariot elevateur</v>
      </c>
      <c r="D467" s="38" t="str">
        <f>IF(ISNA(VLOOKUP(Tableau13[[#This Row],[Code]],'Code Véhicule'!$A$4:$C$185,3,0)),"",VLOOKUP(Tableau13[[#This Row],[Code]],'Code Véhicule'!$A$4:$C$185,3,0))</f>
        <v>Linde H30D</v>
      </c>
      <c r="E467" s="36" t="str">
        <f>IF(ISNA(VLOOKUP(Tableau13[[#This Row],[Code]],'Code Véhicule'!$A$4:$D$185,4,0))," ",VLOOKUP(Tableau13[[#This Row],[Code]],'Code Véhicule'!$A$4:$D$185,4,0))</f>
        <v>-</v>
      </c>
      <c r="F467" s="36">
        <v>23982</v>
      </c>
      <c r="G467" s="38" t="s">
        <v>927</v>
      </c>
      <c r="H467" s="38" t="s">
        <v>928</v>
      </c>
      <c r="I467" s="36" t="s">
        <v>304</v>
      </c>
      <c r="J467" s="39" t="s">
        <v>929</v>
      </c>
      <c r="K467" s="36">
        <v>156322</v>
      </c>
      <c r="L467" s="40">
        <v>240</v>
      </c>
      <c r="M467" s="40">
        <v>240</v>
      </c>
      <c r="N467" s="41">
        <v>44205</v>
      </c>
      <c r="O467" s="45"/>
      <c r="P467" s="45"/>
      <c r="Q467" s="176" t="e">
        <f>MONTH([1]!Tableau13[[#This Row],[Date début]])</f>
        <v>#REF!</v>
      </c>
      <c r="R467" s="180" t="e">
        <f>YEAR([1]!Tableau13[[#This Row],[Date début]])</f>
        <v>#REF!</v>
      </c>
    </row>
    <row r="468" spans="1:18" ht="45" customHeight="1">
      <c r="A468" s="35">
        <v>44209</v>
      </c>
      <c r="B468" s="36">
        <v>411</v>
      </c>
      <c r="C468" s="37" t="str">
        <f>IF(ISNA(VLOOKUP(Tableau13[[#This Row],[Code]],'Code Véhicule'!$A$4:$C$185,2,0)),"",VLOOKUP(Tableau13[[#This Row],[Code]],'Code Véhicule'!$A$4:$C$185,2,0))</f>
        <v>Camion</v>
      </c>
      <c r="D468" s="38" t="str">
        <f>IF(ISNA(VLOOKUP(Tableau13[[#This Row],[Code]],'Code Véhicule'!$A$4:$C$185,3,0)),"",VLOOKUP(Tableau13[[#This Row],[Code]],'Code Véhicule'!$A$4:$C$185,3,0))</f>
        <v>Renault</v>
      </c>
      <c r="E468" s="36" t="str">
        <f>IF(ISNA(VLOOKUP(Tableau13[[#This Row],[Code]],'Code Véhicule'!$A$4:$D$185,4,0))," ",VLOOKUP(Tableau13[[#This Row],[Code]],'Code Véhicule'!$A$4:$D$185,4,0))</f>
        <v>25636-A-13</v>
      </c>
      <c r="F468" s="36">
        <v>23983</v>
      </c>
      <c r="G468" s="38" t="s">
        <v>511</v>
      </c>
      <c r="H468" s="38" t="s">
        <v>930</v>
      </c>
      <c r="I468" s="36" t="s">
        <v>304</v>
      </c>
      <c r="J468" s="39" t="s">
        <v>976</v>
      </c>
      <c r="K468" s="36" t="s">
        <v>931</v>
      </c>
      <c r="L468" s="40">
        <v>570</v>
      </c>
      <c r="M468" s="40">
        <v>570</v>
      </c>
      <c r="N468" s="41">
        <v>44209</v>
      </c>
      <c r="O468" s="45"/>
      <c r="P468" s="45"/>
      <c r="Q468" s="176" t="e">
        <f>MONTH([1]!Tableau13[[#This Row],[Date début]])</f>
        <v>#REF!</v>
      </c>
      <c r="R468" s="180" t="e">
        <f>YEAR([1]!Tableau13[[#This Row],[Date début]])</f>
        <v>#REF!</v>
      </c>
    </row>
    <row r="469" spans="1:18" ht="180" customHeight="1">
      <c r="A469" s="35">
        <v>44210</v>
      </c>
      <c r="B469" s="36">
        <v>407</v>
      </c>
      <c r="C469" s="37" t="str">
        <f>IF(ISNA(VLOOKUP(Tableau13[[#This Row],[Code]],'Code Véhicule'!$A$4:$C$185,2,0)),"",VLOOKUP(Tableau13[[#This Row],[Code]],'Code Véhicule'!$A$4:$C$185,2,0))</f>
        <v>Semi remorque</v>
      </c>
      <c r="D469" s="38" t="str">
        <f>IF(ISNA(VLOOKUP(Tableau13[[#This Row],[Code]],'Code Véhicule'!$A$4:$C$185,3,0)),"",VLOOKUP(Tableau13[[#This Row],[Code]],'Code Véhicule'!$A$4:$C$185,3,0))</f>
        <v>MAN</v>
      </c>
      <c r="E469" s="36" t="str">
        <f>IF(ISNA(VLOOKUP(Tableau13[[#This Row],[Code]],'Code Véhicule'!$A$4:$D$185,4,0))," ",VLOOKUP(Tableau13[[#This Row],[Code]],'Code Véhicule'!$A$4:$D$185,4,0))</f>
        <v>706-A-73</v>
      </c>
      <c r="F469" s="36">
        <v>23988</v>
      </c>
      <c r="G469" s="38" t="s">
        <v>397</v>
      </c>
      <c r="H469" s="38" t="s">
        <v>625</v>
      </c>
      <c r="I469" s="36" t="s">
        <v>304</v>
      </c>
      <c r="J469" s="39" t="s">
        <v>939</v>
      </c>
      <c r="K469" s="36" t="s">
        <v>940</v>
      </c>
      <c r="L469" s="40">
        <v>4560</v>
      </c>
      <c r="M469" s="40">
        <v>11400</v>
      </c>
      <c r="N469" s="41">
        <v>44232</v>
      </c>
      <c r="O469" s="45"/>
      <c r="P469" s="45"/>
      <c r="Q469" s="176" t="e">
        <f>MONTH([1]!Tableau13[[#This Row],[Date début]])</f>
        <v>#REF!</v>
      </c>
      <c r="R469" s="180" t="e">
        <f>YEAR([1]!Tableau13[[#This Row],[Date début]])</f>
        <v>#REF!</v>
      </c>
    </row>
    <row r="470" spans="1:18" ht="210" customHeight="1">
      <c r="A470" s="35">
        <v>44211</v>
      </c>
      <c r="B470" s="36">
        <v>413</v>
      </c>
      <c r="C470" s="37" t="str">
        <f>IF(ISNA(VLOOKUP(Tableau13[[#This Row],[Code]],'Code Véhicule'!$A$4:$C$185,2,0)),"",VLOOKUP(Tableau13[[#This Row],[Code]],'Code Véhicule'!$A$4:$C$185,2,0))</f>
        <v>Chargeur</v>
      </c>
      <c r="D470" s="38" t="str">
        <f>IF(ISNA(VLOOKUP(Tableau13[[#This Row],[Code]],'Code Véhicule'!$A$4:$C$185,3,0)),"",VLOOKUP(Tableau13[[#This Row],[Code]],'Code Véhicule'!$A$4:$C$185,3,0))</f>
        <v>Caterpillar</v>
      </c>
      <c r="E470" s="36" t="str">
        <f>IF(ISNA(VLOOKUP(Tableau13[[#This Row],[Code]],'Code Véhicule'!$A$4:$D$185,4,0))," ",VLOOKUP(Tableau13[[#This Row],[Code]],'Code Véhicule'!$A$4:$D$185,4,0))</f>
        <v>-</v>
      </c>
      <c r="F470" s="53">
        <v>23987</v>
      </c>
      <c r="G470" s="38" t="s">
        <v>455</v>
      </c>
      <c r="H470" s="38" t="s">
        <v>657</v>
      </c>
      <c r="I470" s="36" t="s">
        <v>322</v>
      </c>
      <c r="J470" s="39" t="s">
        <v>1216</v>
      </c>
      <c r="K470" s="36" t="s">
        <v>938</v>
      </c>
      <c r="L470" s="40">
        <v>3420</v>
      </c>
      <c r="M470" s="40">
        <v>7980</v>
      </c>
      <c r="N470" s="41">
        <v>44225</v>
      </c>
      <c r="O470" s="45"/>
      <c r="P470" s="45"/>
      <c r="Q470" s="176" t="e">
        <f>MONTH([1]!Tableau13[[#This Row],[Date début]])</f>
        <v>#REF!</v>
      </c>
      <c r="R470" s="180" t="e">
        <f>YEAR([1]!Tableau13[[#This Row],[Date début]])</f>
        <v>#REF!</v>
      </c>
    </row>
    <row r="471" spans="1:18" ht="30" customHeight="1">
      <c r="A471" s="35">
        <v>44212</v>
      </c>
      <c r="B471" s="36">
        <v>436</v>
      </c>
      <c r="C471" s="37" t="str">
        <f>IF(ISNA(VLOOKUP(Tableau13[[#This Row],[Code]],'Code Véhicule'!$A$4:$C$185,2,0)),"",VLOOKUP(Tableau13[[#This Row],[Code]],'Code Véhicule'!$A$4:$C$185,2,0))</f>
        <v>Camion</v>
      </c>
      <c r="D471" s="38" t="str">
        <f>IF(ISNA(VLOOKUP(Tableau13[[#This Row],[Code]],'Code Véhicule'!$A$4:$C$185,3,0)),"",VLOOKUP(Tableau13[[#This Row],[Code]],'Code Véhicule'!$A$4:$C$185,3,0))</f>
        <v>Mitsubishi</v>
      </c>
      <c r="E471" s="36" t="str">
        <f>IF(ISNA(VLOOKUP(Tableau13[[#This Row],[Code]],'Code Véhicule'!$A$4:$D$185,4,0))," ",VLOOKUP(Tableau13[[#This Row],[Code]],'Code Véhicule'!$A$4:$D$185,4,0))</f>
        <v>11470-A-73</v>
      </c>
      <c r="F471" s="36">
        <v>23986</v>
      </c>
      <c r="G471" s="52" t="s">
        <v>353</v>
      </c>
      <c r="H471" s="52" t="s">
        <v>729</v>
      </c>
      <c r="I471" s="36" t="s">
        <v>304</v>
      </c>
      <c r="J471" s="39" t="s">
        <v>937</v>
      </c>
      <c r="K471" s="36">
        <v>165343</v>
      </c>
      <c r="L471" s="40">
        <v>120</v>
      </c>
      <c r="M471" s="40">
        <v>120</v>
      </c>
      <c r="N471" s="41">
        <v>44212</v>
      </c>
      <c r="O471" s="45"/>
      <c r="P471" s="45"/>
      <c r="Q471" s="176" t="e">
        <f>MONTH([1]!Tableau13[[#This Row],[Date début]])</f>
        <v>#REF!</v>
      </c>
      <c r="R471" s="180" t="e">
        <f>YEAR([1]!Tableau13[[#This Row],[Date début]])</f>
        <v>#REF!</v>
      </c>
    </row>
    <row r="472" spans="1:18" ht="120" customHeight="1">
      <c r="A472" s="35">
        <v>44212</v>
      </c>
      <c r="B472" s="36">
        <v>411</v>
      </c>
      <c r="C472" s="37" t="str">
        <f>IF(ISNA(VLOOKUP(Tableau13[[#This Row],[Code]],'Code Véhicule'!$A$4:$C$185,2,0)),"",VLOOKUP(Tableau13[[#This Row],[Code]],'Code Véhicule'!$A$4:$C$185,2,0))</f>
        <v>Camion</v>
      </c>
      <c r="D472" s="38" t="str">
        <f>IF(ISNA(VLOOKUP(Tableau13[[#This Row],[Code]],'Code Véhicule'!$A$4:$C$185,3,0)),"",VLOOKUP(Tableau13[[#This Row],[Code]],'Code Véhicule'!$A$4:$C$185,3,0))</f>
        <v>Renault</v>
      </c>
      <c r="E472" s="36" t="str">
        <f>IF(ISNA(VLOOKUP(Tableau13[[#This Row],[Code]],'Code Véhicule'!$A$4:$D$185,4,0))," ",VLOOKUP(Tableau13[[#This Row],[Code]],'Code Véhicule'!$A$4:$D$185,4,0))</f>
        <v>25636-A-13</v>
      </c>
      <c r="F472" s="53">
        <v>23989</v>
      </c>
      <c r="G472" s="38" t="s">
        <v>941</v>
      </c>
      <c r="H472" s="38" t="s">
        <v>841</v>
      </c>
      <c r="I472" s="36" t="s">
        <v>304</v>
      </c>
      <c r="J472" s="39" t="s">
        <v>968</v>
      </c>
      <c r="K472" s="36" t="s">
        <v>942</v>
      </c>
      <c r="L472" s="40">
        <v>2850</v>
      </c>
      <c r="M472" s="40">
        <v>6250</v>
      </c>
      <c r="N472" s="41">
        <v>44224</v>
      </c>
      <c r="O472" s="45"/>
      <c r="P472" s="45"/>
      <c r="Q472" s="176" t="e">
        <f>MONTH([1]!Tableau13[[#This Row],[Date début]])</f>
        <v>#REF!</v>
      </c>
      <c r="R472" s="180" t="e">
        <f>YEAR([1]!Tableau13[[#This Row],[Date début]])</f>
        <v>#REF!</v>
      </c>
    </row>
    <row r="473" spans="1:18" ht="30" customHeight="1">
      <c r="A473" s="35">
        <v>44213</v>
      </c>
      <c r="B473" s="36">
        <v>406</v>
      </c>
      <c r="C473" s="37" t="str">
        <f>IF(ISNA(VLOOKUP(Tableau13[[#This Row],[Code]],'Code Véhicule'!$A$4:$C$185,2,0)),"",VLOOKUP(Tableau13[[#This Row],[Code]],'Code Véhicule'!$A$4:$C$185,2,0))</f>
        <v>Semi remorque</v>
      </c>
      <c r="D473" s="38" t="str">
        <f>IF(ISNA(VLOOKUP(Tableau13[[#This Row],[Code]],'Code Véhicule'!$A$4:$C$185,3,0)),"",VLOOKUP(Tableau13[[#This Row],[Code]],'Code Véhicule'!$A$4:$C$185,3,0))</f>
        <v>VOLVO</v>
      </c>
      <c r="E473" s="36" t="str">
        <f>IF(ISNA(VLOOKUP(Tableau13[[#This Row],[Code]],'Code Véhicule'!$A$4:$D$185,4,0))," ",VLOOKUP(Tableau13[[#This Row],[Code]],'Code Véhicule'!$A$4:$D$185,4,0))</f>
        <v>70352-A-6</v>
      </c>
      <c r="F473" s="36">
        <v>23990</v>
      </c>
      <c r="G473" s="38" t="s">
        <v>511</v>
      </c>
      <c r="H473" s="38" t="s">
        <v>672</v>
      </c>
      <c r="I473" s="36" t="s">
        <v>304</v>
      </c>
      <c r="J473" s="39" t="s">
        <v>854</v>
      </c>
      <c r="K473" s="36">
        <v>157703</v>
      </c>
      <c r="L473" s="40">
        <v>60</v>
      </c>
      <c r="M473" s="40">
        <v>60</v>
      </c>
      <c r="N473" s="41">
        <v>44213</v>
      </c>
      <c r="O473" s="45"/>
      <c r="P473" s="45"/>
      <c r="Q473" s="176" t="e">
        <f>MONTH([1]!Tableau13[[#This Row],[Date début]])</f>
        <v>#REF!</v>
      </c>
      <c r="R473" s="180" t="e">
        <f>YEAR([1]!Tableau13[[#This Row],[Date début]])</f>
        <v>#REF!</v>
      </c>
    </row>
    <row r="474" spans="1:18" ht="15.75" customHeight="1">
      <c r="A474" s="35">
        <v>44214</v>
      </c>
      <c r="B474" s="36">
        <v>436</v>
      </c>
      <c r="C474" s="37" t="str">
        <f>IF(ISNA(VLOOKUP(Tableau13[[#This Row],[Code]],'Code Véhicule'!$A$4:$C$185,2,0)),"",VLOOKUP(Tableau13[[#This Row],[Code]],'Code Véhicule'!$A$4:$C$185,2,0))</f>
        <v>Camion</v>
      </c>
      <c r="D474" s="38" t="str">
        <f>IF(ISNA(VLOOKUP(Tableau13[[#This Row],[Code]],'Code Véhicule'!$A$4:$C$185,3,0)),"",VLOOKUP(Tableau13[[#This Row],[Code]],'Code Véhicule'!$A$4:$C$185,3,0))</f>
        <v>Mitsubishi</v>
      </c>
      <c r="E474" s="36" t="str">
        <f>IF(ISNA(VLOOKUP(Tableau13[[#This Row],[Code]],'Code Véhicule'!$A$4:$D$185,4,0))," ",VLOOKUP(Tableau13[[#This Row],[Code]],'Code Véhicule'!$A$4:$D$185,4,0))</f>
        <v>11470-A-73</v>
      </c>
      <c r="F474" s="36">
        <v>23991</v>
      </c>
      <c r="G474" s="38" t="s">
        <v>560</v>
      </c>
      <c r="H474" s="38" t="s">
        <v>604</v>
      </c>
      <c r="I474" s="36" t="s">
        <v>304</v>
      </c>
      <c r="J474" s="39" t="s">
        <v>372</v>
      </c>
      <c r="K474" s="36">
        <v>157704</v>
      </c>
      <c r="L474" s="40">
        <v>60</v>
      </c>
      <c r="M474" s="40">
        <v>60</v>
      </c>
      <c r="N474" s="41">
        <v>44214</v>
      </c>
      <c r="O474" s="45"/>
      <c r="P474" s="45"/>
      <c r="Q474" s="176" t="e">
        <f>MONTH([1]!Tableau13[[#This Row],[Date début]])</f>
        <v>#REF!</v>
      </c>
      <c r="R474" s="180" t="e">
        <f>YEAR([1]!Tableau13[[#This Row],[Date début]])</f>
        <v>#REF!</v>
      </c>
    </row>
    <row r="475" spans="1:18" ht="30">
      <c r="A475" s="35">
        <v>44215</v>
      </c>
      <c r="B475" s="36">
        <v>479</v>
      </c>
      <c r="C475" s="37" t="str">
        <f>IF(ISNA(VLOOKUP(Tableau13[[#This Row],[Code]],'Code Véhicule'!$A$4:$C$185,2,0)),"",VLOOKUP(Tableau13[[#This Row],[Code]],'Code Véhicule'!$A$4:$C$185,2,0))</f>
        <v>Bus de transport</v>
      </c>
      <c r="D475" s="38" t="str">
        <f>IF(ISNA(VLOOKUP(Tableau13[[#This Row],[Code]],'Code Véhicule'!$A$4:$C$185,3,0)),"",VLOOKUP(Tableau13[[#This Row],[Code]],'Code Véhicule'!$A$4:$C$185,3,0))</f>
        <v>Hyundai County</v>
      </c>
      <c r="E475" s="36" t="str">
        <f>IF(ISNA(VLOOKUP(Tableau13[[#This Row],[Code]],'Code Véhicule'!$A$4:$D$185,4,0))," ",VLOOKUP(Tableau13[[#This Row],[Code]],'Code Véhicule'!$A$4:$D$185,4,0))</f>
        <v>22772-A-73</v>
      </c>
      <c r="F475" s="36">
        <v>23992</v>
      </c>
      <c r="G475" s="38" t="s">
        <v>353</v>
      </c>
      <c r="H475" s="38" t="s">
        <v>729</v>
      </c>
      <c r="I475" s="36" t="s">
        <v>304</v>
      </c>
      <c r="J475" s="39" t="s">
        <v>943</v>
      </c>
      <c r="K475" s="36">
        <v>157709</v>
      </c>
      <c r="L475" s="40">
        <v>120</v>
      </c>
      <c r="M475" s="40">
        <v>120</v>
      </c>
      <c r="N475" s="41">
        <v>44225</v>
      </c>
      <c r="O475" s="45"/>
      <c r="P475" s="45"/>
      <c r="Q475" s="176" t="e">
        <f>MONTH([1]!Tableau13[[#This Row],[Date début]])</f>
        <v>#REF!</v>
      </c>
      <c r="R475" s="180" t="e">
        <f>YEAR([1]!Tableau13[[#This Row],[Date début]])</f>
        <v>#REF!</v>
      </c>
    </row>
    <row r="476" spans="1:18" ht="15.75" customHeight="1">
      <c r="A476" s="35">
        <v>44219</v>
      </c>
      <c r="B476" s="36">
        <v>431</v>
      </c>
      <c r="C476" s="37" t="str">
        <f>IF(ISNA(VLOOKUP(Tableau13[[#This Row],[Code]],'Code Véhicule'!$A$4:$C$185,2,0)),"",VLOOKUP(Tableau13[[#This Row],[Code]],'Code Véhicule'!$A$4:$C$185,2,0))</f>
        <v>Chariot elevateur</v>
      </c>
      <c r="D476" s="38" t="str">
        <f>IF(ISNA(VLOOKUP(Tableau13[[#This Row],[Code]],'Code Véhicule'!$A$4:$C$185,3,0)),"",VLOOKUP(Tableau13[[#This Row],[Code]],'Code Véhicule'!$A$4:$C$185,3,0))</f>
        <v>Manitou M26-2</v>
      </c>
      <c r="E476" s="36" t="str">
        <f>IF(ISNA(VLOOKUP(Tableau13[[#This Row],[Code]],'Code Véhicule'!$A$4:$D$185,4,0))," ",VLOOKUP(Tableau13[[#This Row],[Code]],'Code Véhicule'!$A$4:$D$185,4,0))</f>
        <v>-</v>
      </c>
      <c r="F476" s="36">
        <v>23993</v>
      </c>
      <c r="G476" s="38" t="s">
        <v>393</v>
      </c>
      <c r="H476" s="38" t="s">
        <v>608</v>
      </c>
      <c r="I476" s="36" t="s">
        <v>302</v>
      </c>
      <c r="J476" s="39" t="s">
        <v>946</v>
      </c>
      <c r="K476" s="36">
        <v>157732</v>
      </c>
      <c r="L476" s="40">
        <v>120</v>
      </c>
      <c r="M476" s="40">
        <v>120</v>
      </c>
      <c r="N476" s="41">
        <v>44219</v>
      </c>
      <c r="O476" s="45"/>
      <c r="P476" s="45"/>
      <c r="Q476" s="176" t="e">
        <f>MONTH([1]!Tableau13[[#This Row],[Date début]])</f>
        <v>#REF!</v>
      </c>
      <c r="R476" s="180" t="e">
        <f>YEAR([1]!Tableau13[[#This Row],[Date début]])</f>
        <v>#REF!</v>
      </c>
    </row>
    <row r="477" spans="1:18" ht="30" customHeight="1">
      <c r="A477" s="35">
        <v>44222</v>
      </c>
      <c r="B477" s="36">
        <v>435</v>
      </c>
      <c r="C477" s="37" t="str">
        <f>IF(ISNA(VLOOKUP(Tableau13[[#This Row],[Code]],'Code Véhicule'!$A$4:$C$185,2,0)),"",VLOOKUP(Tableau13[[#This Row],[Code]],'Code Véhicule'!$A$4:$C$185,2,0))</f>
        <v>Camion</v>
      </c>
      <c r="D477" s="38" t="str">
        <f>IF(ISNA(VLOOKUP(Tableau13[[#This Row],[Code]],'Code Véhicule'!$A$4:$C$185,3,0)),"",VLOOKUP(Tableau13[[#This Row],[Code]],'Code Véhicule'!$A$4:$C$185,3,0))</f>
        <v>Mitsubishi</v>
      </c>
      <c r="E477" s="36" t="str">
        <f>IF(ISNA(VLOOKUP(Tableau13[[#This Row],[Code]],'Code Véhicule'!$A$4:$D$185,4,0))," ",VLOOKUP(Tableau13[[#This Row],[Code]],'Code Véhicule'!$A$4:$D$185,4,0))</f>
        <v xml:space="preserve"> 11469-A-73</v>
      </c>
      <c r="F477" s="36">
        <v>23994</v>
      </c>
      <c r="G477" s="38" t="s">
        <v>393</v>
      </c>
      <c r="H477" s="38" t="s">
        <v>608</v>
      </c>
      <c r="I477" s="36" t="s">
        <v>302</v>
      </c>
      <c r="J477" s="39" t="s">
        <v>944</v>
      </c>
      <c r="K477" s="36">
        <v>157740</v>
      </c>
      <c r="L477" s="40">
        <v>120</v>
      </c>
      <c r="M477" s="40">
        <v>120</v>
      </c>
      <c r="N477" s="41">
        <v>44222</v>
      </c>
      <c r="O477" s="45"/>
      <c r="P477" s="45"/>
      <c r="Q477" s="176" t="e">
        <f>MONTH([1]!Tableau13[[#This Row],[Date début]])</f>
        <v>#REF!</v>
      </c>
      <c r="R477" s="180" t="e">
        <f>YEAR([1]!Tableau13[[#This Row],[Date début]])</f>
        <v>#REF!</v>
      </c>
    </row>
    <row r="478" spans="1:18" ht="30" customHeight="1">
      <c r="A478" s="35">
        <v>44223</v>
      </c>
      <c r="B478" s="36">
        <v>433</v>
      </c>
      <c r="C478" s="37" t="str">
        <f>IF(ISNA(VLOOKUP(Tableau13[[#This Row],[Code]],'Code Véhicule'!$A$4:$C$185,2,0)),"",VLOOKUP(Tableau13[[#This Row],[Code]],'Code Véhicule'!$A$4:$C$185,2,0))</f>
        <v>Voiture de fonction</v>
      </c>
      <c r="D478" s="38" t="str">
        <f>IF(ISNA(VLOOKUP(Tableau13[[#This Row],[Code]],'Code Véhicule'!$A$4:$C$185,3,0)),"",VLOOKUP(Tableau13[[#This Row],[Code]],'Code Véhicule'!$A$4:$C$185,3,0))</f>
        <v>Berlingo</v>
      </c>
      <c r="E478" s="36" t="str">
        <f>IF(ISNA(VLOOKUP(Tableau13[[#This Row],[Code]],'Code Véhicule'!$A$4:$D$185,4,0))," ",VLOOKUP(Tableau13[[#This Row],[Code]],'Code Véhicule'!$A$4:$D$185,4,0))</f>
        <v>10551-A-73</v>
      </c>
      <c r="F478" s="36">
        <v>23995</v>
      </c>
      <c r="G478" s="38" t="s">
        <v>393</v>
      </c>
      <c r="H478" s="38" t="s">
        <v>896</v>
      </c>
      <c r="I478" s="36" t="s">
        <v>302</v>
      </c>
      <c r="J478" s="39" t="s">
        <v>945</v>
      </c>
      <c r="K478" s="36">
        <v>157748</v>
      </c>
      <c r="L478" s="40">
        <v>60</v>
      </c>
      <c r="M478" s="40">
        <v>60</v>
      </c>
      <c r="N478" s="41">
        <v>44223</v>
      </c>
      <c r="O478" s="45"/>
      <c r="P478" s="45"/>
      <c r="Q478" s="176" t="e">
        <f>MONTH([1]!Tableau13[[#This Row],[Date début]])</f>
        <v>#REF!</v>
      </c>
      <c r="R478" s="180" t="e">
        <f>YEAR([1]!Tableau13[[#This Row],[Date début]])</f>
        <v>#REF!</v>
      </c>
    </row>
    <row r="479" spans="1:18">
      <c r="A479" s="35">
        <v>44224</v>
      </c>
      <c r="B479" s="36">
        <v>471</v>
      </c>
      <c r="C479" s="37" t="str">
        <f>IF(ISNA(VLOOKUP(Tableau13[[#This Row],[Code]],'Code Véhicule'!$A$4:$C$185,2,0)),"",VLOOKUP(Tableau13[[#This Row],[Code]],'Code Véhicule'!$A$4:$C$185,2,0))</f>
        <v>Bus de transport</v>
      </c>
      <c r="D479" s="38" t="str">
        <f>IF(ISNA(VLOOKUP(Tableau13[[#This Row],[Code]],'Code Véhicule'!$A$4:$C$185,3,0)),"",VLOOKUP(Tableau13[[#This Row],[Code]],'Code Véhicule'!$A$4:$C$185,3,0))</f>
        <v xml:space="preserve">Hyundai County </v>
      </c>
      <c r="E479" s="36" t="str">
        <f>IF(ISNA(VLOOKUP(Tableau13[[#This Row],[Code]],'Code Véhicule'!$A$4:$D$185,4,0))," ",VLOOKUP(Tableau13[[#This Row],[Code]],'Code Véhicule'!$A$4:$D$185,4,0))</f>
        <v>18516-A-73</v>
      </c>
      <c r="F479" s="36">
        <v>23997</v>
      </c>
      <c r="G479" s="38" t="s">
        <v>948</v>
      </c>
      <c r="H479" s="38" t="s">
        <v>949</v>
      </c>
      <c r="I479" s="36" t="s">
        <v>304</v>
      </c>
      <c r="J479" s="39" t="s">
        <v>950</v>
      </c>
      <c r="K479" s="36">
        <v>167753</v>
      </c>
      <c r="L479" s="40">
        <v>120</v>
      </c>
      <c r="M479" s="40">
        <v>120</v>
      </c>
      <c r="N479" s="41">
        <v>44224</v>
      </c>
      <c r="O479" s="45"/>
      <c r="P479" s="45"/>
      <c r="Q479" s="176" t="e">
        <f>MONTH([1]!Tableau13[[#This Row],[Date début]])</f>
        <v>#REF!</v>
      </c>
      <c r="R479" s="180" t="e">
        <f>YEAR([1]!Tableau13[[#This Row],[Date début]])</f>
        <v>#REF!</v>
      </c>
    </row>
    <row r="480" spans="1:18" ht="15.75" customHeight="1">
      <c r="A480" s="35">
        <v>44225</v>
      </c>
      <c r="B480" s="36">
        <v>408</v>
      </c>
      <c r="C480" s="37" t="str">
        <f>IF(ISNA(VLOOKUP(Tableau13[[#This Row],[Code]],'Code Véhicule'!$A$4:$C$185,2,0)),"",VLOOKUP(Tableau13[[#This Row],[Code]],'Code Véhicule'!$A$4:$C$185,2,0))</f>
        <v>Camion</v>
      </c>
      <c r="D480" s="38" t="str">
        <f>IF(ISNA(VLOOKUP(Tableau13[[#This Row],[Code]],'Code Véhicule'!$A$4:$C$185,3,0)),"",VLOOKUP(Tableau13[[#This Row],[Code]],'Code Véhicule'!$A$4:$C$185,3,0))</f>
        <v>Mitsubishi</v>
      </c>
      <c r="E480" s="36" t="str">
        <f>IF(ISNA(VLOOKUP(Tableau13[[#This Row],[Code]],'Code Véhicule'!$A$4:$D$185,4,0))," ",VLOOKUP(Tableau13[[#This Row],[Code]],'Code Véhicule'!$A$4:$D$185,4,0))</f>
        <v>4703-A-73</v>
      </c>
      <c r="F480" s="36">
        <v>23998</v>
      </c>
      <c r="G480" s="52" t="s">
        <v>560</v>
      </c>
      <c r="H480" s="52" t="s">
        <v>604</v>
      </c>
      <c r="I480" s="36" t="s">
        <v>304</v>
      </c>
      <c r="J480" s="39" t="s">
        <v>756</v>
      </c>
      <c r="K480" s="36">
        <v>157754</v>
      </c>
      <c r="L480" s="40">
        <v>120</v>
      </c>
      <c r="M480" s="40">
        <v>120</v>
      </c>
      <c r="N480" s="41">
        <v>44225</v>
      </c>
      <c r="O480" s="45"/>
      <c r="P480" s="45"/>
      <c r="Q480" s="176" t="e">
        <f>MONTH([1]!Tableau13[[#This Row],[Date début]])</f>
        <v>#REF!</v>
      </c>
      <c r="R480" s="180" t="e">
        <f>YEAR([1]!Tableau13[[#This Row],[Date début]])</f>
        <v>#REF!</v>
      </c>
    </row>
    <row r="481" spans="1:18" ht="30" customHeight="1">
      <c r="A481" s="35">
        <v>44226</v>
      </c>
      <c r="B481" s="36">
        <v>472</v>
      </c>
      <c r="C481" s="37" t="str">
        <f>IF(ISNA(VLOOKUP(Tableau13[[#This Row],[Code]],'Code Véhicule'!$A$4:$C$185,2,0)),"",VLOOKUP(Tableau13[[#This Row],[Code]],'Code Véhicule'!$A$4:$C$185,2,0))</f>
        <v>Chariot elevateur</v>
      </c>
      <c r="D481" s="38" t="str">
        <f>IF(ISNA(VLOOKUP(Tableau13[[#This Row],[Code]],'Code Véhicule'!$A$4:$C$185,3,0)),"",VLOOKUP(Tableau13[[#This Row],[Code]],'Code Véhicule'!$A$4:$C$185,3,0))</f>
        <v>Linde H25d</v>
      </c>
      <c r="E481" s="36" t="str">
        <f>IF(ISNA(VLOOKUP(Tableau13[[#This Row],[Code]],'Code Véhicule'!$A$4:$D$185,4,0))," ",VLOOKUP(Tableau13[[#This Row],[Code]],'Code Véhicule'!$A$4:$D$185,4,0))</f>
        <v>-</v>
      </c>
      <c r="F481" s="36">
        <v>23968</v>
      </c>
      <c r="G481" s="38" t="s">
        <v>511</v>
      </c>
      <c r="H481" s="38" t="s">
        <v>910</v>
      </c>
      <c r="I481" s="36" t="s">
        <v>304</v>
      </c>
      <c r="J481" s="39" t="s">
        <v>911</v>
      </c>
      <c r="K481" s="36">
        <v>154709</v>
      </c>
      <c r="L481" s="40">
        <v>180</v>
      </c>
      <c r="M481" s="40">
        <v>180</v>
      </c>
      <c r="N481" s="41">
        <v>44226</v>
      </c>
      <c r="O481" s="45"/>
      <c r="P481" s="45"/>
      <c r="Q481" s="176" t="e">
        <f>MONTH([1]!Tableau13[[#This Row],[Date début]])</f>
        <v>#REF!</v>
      </c>
      <c r="R481" s="180" t="e">
        <f>YEAR([1]!Tableau13[[#This Row],[Date début]])</f>
        <v>#REF!</v>
      </c>
    </row>
    <row r="482" spans="1:18" ht="45" customHeight="1">
      <c r="A482" s="35">
        <v>44226</v>
      </c>
      <c r="B482" s="36">
        <v>435</v>
      </c>
      <c r="C482" s="37" t="str">
        <f>IF(ISNA(VLOOKUP(Tableau13[[#This Row],[Code]],'Code Véhicule'!$A$4:$C$185,2,0)),"",VLOOKUP(Tableau13[[#This Row],[Code]],'Code Véhicule'!$A$4:$C$185,2,0))</f>
        <v>Camion</v>
      </c>
      <c r="D482" s="38" t="str">
        <f>IF(ISNA(VLOOKUP(Tableau13[[#This Row],[Code]],'Code Véhicule'!$A$4:$C$185,3,0)),"",VLOOKUP(Tableau13[[#This Row],[Code]],'Code Véhicule'!$A$4:$C$185,3,0))</f>
        <v>Mitsubishi</v>
      </c>
      <c r="E482" s="36" t="str">
        <f>IF(ISNA(VLOOKUP(Tableau13[[#This Row],[Code]],'Code Véhicule'!$A$4:$D$185,4,0))," ",VLOOKUP(Tableau13[[#This Row],[Code]],'Code Véhicule'!$A$4:$D$185,4,0))</f>
        <v xml:space="preserve"> 11469-A-73</v>
      </c>
      <c r="F482" s="36">
        <v>23969</v>
      </c>
      <c r="G482" s="38" t="s">
        <v>353</v>
      </c>
      <c r="H482" s="38" t="s">
        <v>729</v>
      </c>
      <c r="I482" s="36" t="s">
        <v>304</v>
      </c>
      <c r="J482" s="39" t="s">
        <v>912</v>
      </c>
      <c r="K482" s="36">
        <v>157715</v>
      </c>
      <c r="L482" s="51">
        <v>120</v>
      </c>
      <c r="M482" s="51">
        <v>120</v>
      </c>
      <c r="N482" s="41">
        <v>44530</v>
      </c>
      <c r="O482" s="45"/>
      <c r="P482" s="45"/>
      <c r="Q482" s="176" t="e">
        <f>MONTH([1]!Tableau13[[#This Row],[Date début]])</f>
        <v>#REF!</v>
      </c>
      <c r="R482" s="180" t="e">
        <f>YEAR([1]!Tableau13[[#This Row],[Date début]])</f>
        <v>#REF!</v>
      </c>
    </row>
    <row r="483" spans="1:18" ht="45" customHeight="1">
      <c r="A483" s="35">
        <v>44226</v>
      </c>
      <c r="B483" s="36">
        <v>431</v>
      </c>
      <c r="C483" s="37" t="str">
        <f>IF(ISNA(VLOOKUP(Tableau13[[#This Row],[Code]],'Code Véhicule'!$A$4:$C$185,2,0)),"",VLOOKUP(Tableau13[[#This Row],[Code]],'Code Véhicule'!$A$4:$C$185,2,0))</f>
        <v>Chariot elevateur</v>
      </c>
      <c r="D483" s="38" t="str">
        <f>IF(ISNA(VLOOKUP(Tableau13[[#This Row],[Code]],'Code Véhicule'!$A$4:$C$185,3,0)),"",VLOOKUP(Tableau13[[#This Row],[Code]],'Code Véhicule'!$A$4:$C$185,3,0))</f>
        <v>Manitou M26-2</v>
      </c>
      <c r="E483" s="36" t="str">
        <f>IF(ISNA(VLOOKUP(Tableau13[[#This Row],[Code]],'Code Véhicule'!$A$4:$D$185,4,0))," ",VLOOKUP(Tableau13[[#This Row],[Code]],'Code Véhicule'!$A$4:$D$185,4,0))</f>
        <v>-</v>
      </c>
      <c r="F483" s="36">
        <v>23999</v>
      </c>
      <c r="G483" s="38" t="s">
        <v>393</v>
      </c>
      <c r="H483" s="38" t="s">
        <v>608</v>
      </c>
      <c r="I483" s="36" t="s">
        <v>304</v>
      </c>
      <c r="J483" s="39" t="s">
        <v>951</v>
      </c>
      <c r="K483" s="36">
        <v>157758</v>
      </c>
      <c r="L483" s="40">
        <v>120</v>
      </c>
      <c r="M483" s="40">
        <v>120</v>
      </c>
      <c r="N483" s="41">
        <v>44226</v>
      </c>
      <c r="O483" s="45"/>
      <c r="P483" s="45"/>
      <c r="Q483" s="176" t="e">
        <f>MONTH([1]!Tableau13[[#This Row],[Date début]])</f>
        <v>#REF!</v>
      </c>
      <c r="R483" s="180" t="e">
        <f>YEAR([1]!Tableau13[[#This Row],[Date début]])</f>
        <v>#REF!</v>
      </c>
    </row>
    <row r="484" spans="1:18" ht="120" customHeight="1">
      <c r="A484" s="35">
        <v>44226</v>
      </c>
      <c r="B484" s="36">
        <v>409</v>
      </c>
      <c r="C484" s="37" t="str">
        <f>IF(ISNA(VLOOKUP(Tableau13[[#This Row],[Code]],'Code Véhicule'!$A$4:$C$185,2,0)),"",VLOOKUP(Tableau13[[#This Row],[Code]],'Code Véhicule'!$A$4:$C$185,2,0))</f>
        <v>Camion</v>
      </c>
      <c r="D484" s="38" t="str">
        <f>IF(ISNA(VLOOKUP(Tableau13[[#This Row],[Code]],'Code Véhicule'!$A$4:$C$185,3,0)),"",VLOOKUP(Tableau13[[#This Row],[Code]],'Code Véhicule'!$A$4:$C$185,3,0))</f>
        <v>Mitsubishi</v>
      </c>
      <c r="E484" s="36" t="str">
        <f>IF(ISNA(VLOOKUP(Tableau13[[#This Row],[Code]],'Code Véhicule'!$A$4:$D$185,4,0))," ",VLOOKUP(Tableau13[[#This Row],[Code]],'Code Véhicule'!$A$4:$D$185,4,0))</f>
        <v xml:space="preserve">4969-A-73 </v>
      </c>
      <c r="F484" s="36">
        <v>24107</v>
      </c>
      <c r="G484" s="38" t="s">
        <v>610</v>
      </c>
      <c r="H484" s="38" t="s">
        <v>955</v>
      </c>
      <c r="I484" s="36" t="s">
        <v>304</v>
      </c>
      <c r="J484" s="39" t="s">
        <v>956</v>
      </c>
      <c r="K484" s="36" t="s">
        <v>981</v>
      </c>
      <c r="L484" s="40">
        <f>540*5</f>
        <v>2700</v>
      </c>
      <c r="M484" s="40">
        <v>9720</v>
      </c>
      <c r="N484" s="41">
        <v>44246</v>
      </c>
      <c r="O484" s="45"/>
      <c r="P484" s="45"/>
      <c r="Q484" s="176" t="e">
        <f>MONTH([1]!Tableau13[[#This Row],[Date début]])</f>
        <v>#REF!</v>
      </c>
      <c r="R484" s="180" t="e">
        <f>YEAR([1]!Tableau13[[#This Row],[Date début]])</f>
        <v>#REF!</v>
      </c>
    </row>
    <row r="485" spans="1:18" ht="30" customHeight="1">
      <c r="A485" s="35">
        <v>44228</v>
      </c>
      <c r="B485" s="36">
        <v>432</v>
      </c>
      <c r="C485" s="37" t="str">
        <f>IF(ISNA(VLOOKUP(Tableau13[[#This Row],[Code]],'Code Véhicule'!$A$4:$C$185,2,0)),"",VLOOKUP(Tableau13[[#This Row],[Code]],'Code Véhicule'!$A$4:$C$185,2,0))</f>
        <v>Voiture de fonction</v>
      </c>
      <c r="D485" s="38" t="str">
        <f>IF(ISNA(VLOOKUP(Tableau13[[#This Row],[Code]],'Code Véhicule'!$A$4:$C$185,3,0)),"",VLOOKUP(Tableau13[[#This Row],[Code]],'Code Véhicule'!$A$4:$C$185,3,0))</f>
        <v>Berlingo</v>
      </c>
      <c r="E485" s="36" t="str">
        <f>IF(ISNA(VLOOKUP(Tableau13[[#This Row],[Code]],'Code Véhicule'!$A$4:$D$185,4,0))," ",VLOOKUP(Tableau13[[#This Row],[Code]],'Code Véhicule'!$A$4:$D$185,4,0))</f>
        <v xml:space="preserve"> 9660 -A-73</v>
      </c>
      <c r="F485" s="36">
        <v>24103</v>
      </c>
      <c r="G485" s="38" t="s">
        <v>393</v>
      </c>
      <c r="H485" s="38" t="s">
        <v>896</v>
      </c>
      <c r="I485" s="36" t="s">
        <v>302</v>
      </c>
      <c r="J485" s="39" t="s">
        <v>972</v>
      </c>
      <c r="K485" s="36">
        <v>157768</v>
      </c>
      <c r="L485" s="40">
        <v>30</v>
      </c>
      <c r="M485" s="40">
        <v>30</v>
      </c>
      <c r="N485" s="41">
        <v>44228</v>
      </c>
      <c r="O485" s="45"/>
      <c r="P485" s="45"/>
      <c r="Q485" s="176" t="e">
        <f>MONTH([1]!Tableau13[[#This Row],[Date début]])</f>
        <v>#REF!</v>
      </c>
      <c r="R485" s="180" t="e">
        <f>YEAR([1]!Tableau13[[#This Row],[Date début]])</f>
        <v>#REF!</v>
      </c>
    </row>
    <row r="486" spans="1:18" ht="15.75" customHeight="1">
      <c r="A486" s="35">
        <v>44229</v>
      </c>
      <c r="B486" s="36">
        <v>436</v>
      </c>
      <c r="C486" s="37" t="str">
        <f>IF(ISNA(VLOOKUP(Tableau13[[#This Row],[Code]],'Code Véhicule'!$A$4:$C$185,2,0)),"",VLOOKUP(Tableau13[[#This Row],[Code]],'Code Véhicule'!$A$4:$C$185,2,0))</f>
        <v>Camion</v>
      </c>
      <c r="D486" s="38" t="str">
        <f>IF(ISNA(VLOOKUP(Tableau13[[#This Row],[Code]],'Code Véhicule'!$A$4:$C$185,3,0)),"",VLOOKUP(Tableau13[[#This Row],[Code]],'Code Véhicule'!$A$4:$C$185,3,0))</f>
        <v>Mitsubishi</v>
      </c>
      <c r="E486" s="36" t="str">
        <f>IF(ISNA(VLOOKUP(Tableau13[[#This Row],[Code]],'Code Véhicule'!$A$4:$D$185,4,0))," ",VLOOKUP(Tableau13[[#This Row],[Code]],'Code Véhicule'!$A$4:$D$185,4,0))</f>
        <v>11470-A-73</v>
      </c>
      <c r="F486" s="36">
        <v>24000</v>
      </c>
      <c r="G486" s="38" t="s">
        <v>393</v>
      </c>
      <c r="H486" s="38" t="s">
        <v>608</v>
      </c>
      <c r="I486" s="36" t="s">
        <v>304</v>
      </c>
      <c r="J486" s="39" t="s">
        <v>952</v>
      </c>
      <c r="K486" s="36">
        <v>157775</v>
      </c>
      <c r="L486" s="40">
        <v>60</v>
      </c>
      <c r="M486" s="40">
        <v>60</v>
      </c>
      <c r="N486" s="41">
        <v>44229</v>
      </c>
      <c r="O486" s="45"/>
      <c r="P486" s="45"/>
      <c r="Q486" s="176" t="e">
        <f>MONTH([1]!Tableau13[[#This Row],[Date début]])</f>
        <v>#REF!</v>
      </c>
      <c r="R486" s="180" t="e">
        <f>YEAR([1]!Tableau13[[#This Row],[Date début]])</f>
        <v>#REF!</v>
      </c>
    </row>
    <row r="487" spans="1:18">
      <c r="A487" s="35">
        <v>44230</v>
      </c>
      <c r="B487" s="36">
        <v>471</v>
      </c>
      <c r="C487" s="37" t="str">
        <f>IF(ISNA(VLOOKUP(Tableau13[[#This Row],[Code]],'Code Véhicule'!$A$4:$C$185,2,0)),"",VLOOKUP(Tableau13[[#This Row],[Code]],'Code Véhicule'!$A$4:$C$185,2,0))</f>
        <v>Bus de transport</v>
      </c>
      <c r="D487" s="38" t="str">
        <f>IF(ISNA(VLOOKUP(Tableau13[[#This Row],[Code]],'Code Véhicule'!$A$4:$C$185,3,0)),"",VLOOKUP(Tableau13[[#This Row],[Code]],'Code Véhicule'!$A$4:$C$185,3,0))</f>
        <v xml:space="preserve">Hyundai County </v>
      </c>
      <c r="E487" s="36" t="str">
        <f>IF(ISNA(VLOOKUP(Tableau13[[#This Row],[Code]],'Code Véhicule'!$A$4:$D$185,4,0))," ",VLOOKUP(Tableau13[[#This Row],[Code]],'Code Véhicule'!$A$4:$D$185,4,0))</f>
        <v>18516-A-73</v>
      </c>
      <c r="F487" s="36">
        <v>24101</v>
      </c>
      <c r="G487" s="38" t="s">
        <v>560</v>
      </c>
      <c r="H487" s="38" t="s">
        <v>604</v>
      </c>
      <c r="I487" s="36" t="s">
        <v>304</v>
      </c>
      <c r="J487" s="39" t="s">
        <v>953</v>
      </c>
      <c r="K487" s="36">
        <v>157779</v>
      </c>
      <c r="L487" s="40">
        <v>60</v>
      </c>
      <c r="M487" s="40">
        <v>60</v>
      </c>
      <c r="N487" s="41">
        <v>44230</v>
      </c>
      <c r="O487" s="45"/>
      <c r="P487" s="45"/>
      <c r="Q487" s="176" t="e">
        <f>MONTH([1]!Tableau13[[#This Row],[Date début]])</f>
        <v>#REF!</v>
      </c>
      <c r="R487" s="180" t="e">
        <f>YEAR([1]!Tableau13[[#This Row],[Date début]])</f>
        <v>#REF!</v>
      </c>
    </row>
    <row r="488" spans="1:18" ht="45" customHeight="1">
      <c r="A488" s="35">
        <v>44232</v>
      </c>
      <c r="B488" s="36">
        <v>410</v>
      </c>
      <c r="C488" s="37" t="str">
        <f>IF(ISNA(VLOOKUP(Tableau13[[#This Row],[Code]],'Code Véhicule'!$A$4:$C$185,2,0)),"",VLOOKUP(Tableau13[[#This Row],[Code]],'Code Véhicule'!$A$4:$C$185,2,0))</f>
        <v>Semi remorque</v>
      </c>
      <c r="D488" s="38" t="str">
        <f>IF(ISNA(VLOOKUP(Tableau13[[#This Row],[Code]],'Code Véhicule'!$A$4:$C$185,3,0)),"",VLOOKUP(Tableau13[[#This Row],[Code]],'Code Véhicule'!$A$4:$C$185,3,0))</f>
        <v>MAN</v>
      </c>
      <c r="E488" s="36" t="str">
        <f>IF(ISNA(VLOOKUP(Tableau13[[#This Row],[Code]],'Code Véhicule'!$A$4:$D$185,4,0))," ",VLOOKUP(Tableau13[[#This Row],[Code]],'Code Véhicule'!$A$4:$D$185,4,0))</f>
        <v xml:space="preserve">28659-D-1 </v>
      </c>
      <c r="F488" s="36">
        <v>24102</v>
      </c>
      <c r="G488" s="38" t="s">
        <v>393</v>
      </c>
      <c r="H488" s="38" t="s">
        <v>608</v>
      </c>
      <c r="I488" s="36" t="s">
        <v>302</v>
      </c>
      <c r="J488" s="39" t="s">
        <v>954</v>
      </c>
      <c r="K488" s="36"/>
      <c r="L488" s="40">
        <v>60</v>
      </c>
      <c r="M488" s="40">
        <v>60</v>
      </c>
      <c r="N488" s="41">
        <v>44232</v>
      </c>
      <c r="O488" s="45"/>
      <c r="P488" s="45"/>
      <c r="Q488" s="176" t="e">
        <f>MONTH([1]!Tableau13[[#This Row],[Date début]])</f>
        <v>#REF!</v>
      </c>
      <c r="R488" s="180" t="e">
        <f>YEAR([1]!Tableau13[[#This Row],[Date début]])</f>
        <v>#REF!</v>
      </c>
    </row>
    <row r="489" spans="1:18" ht="90" customHeight="1">
      <c r="A489" s="35">
        <v>44235</v>
      </c>
      <c r="B489" s="36">
        <v>411</v>
      </c>
      <c r="C489" s="37" t="str">
        <f>IF(ISNA(VLOOKUP(Tableau13[[#This Row],[Code]],'Code Véhicule'!$A$4:$C$185,2,0)),"",VLOOKUP(Tableau13[[#This Row],[Code]],'Code Véhicule'!$A$4:$C$185,2,0))</f>
        <v>Camion</v>
      </c>
      <c r="D489" s="38" t="str">
        <f>IF(ISNA(VLOOKUP(Tableau13[[#This Row],[Code]],'Code Véhicule'!$A$4:$C$185,3,0)),"",VLOOKUP(Tableau13[[#This Row],[Code]],'Code Véhicule'!$A$4:$C$185,3,0))</f>
        <v>Renault</v>
      </c>
      <c r="E489" s="36" t="str">
        <f>IF(ISNA(VLOOKUP(Tableau13[[#This Row],[Code]],'Code Véhicule'!$A$4:$D$185,4,0))," ",VLOOKUP(Tableau13[[#This Row],[Code]],'Code Véhicule'!$A$4:$D$185,4,0))</f>
        <v>25636-A-13</v>
      </c>
      <c r="F489" s="36">
        <v>24122</v>
      </c>
      <c r="G489" s="38" t="s">
        <v>984</v>
      </c>
      <c r="H489" s="38" t="s">
        <v>985</v>
      </c>
      <c r="I489" s="36" t="s">
        <v>304</v>
      </c>
      <c r="J489" s="39" t="s">
        <v>986</v>
      </c>
      <c r="K489" s="36"/>
      <c r="L489" s="40">
        <v>8550</v>
      </c>
      <c r="M489" s="40">
        <v>8550</v>
      </c>
      <c r="N489" s="41">
        <v>44254</v>
      </c>
      <c r="O489" s="45"/>
      <c r="P489" s="45"/>
      <c r="Q489" s="176" t="e">
        <f>MONTH([1]!Tableau13[[#This Row],[Date début]])</f>
        <v>#REF!</v>
      </c>
      <c r="R489" s="180" t="e">
        <f>YEAR([1]!Tableau13[[#This Row],[Date début]])</f>
        <v>#REF!</v>
      </c>
    </row>
    <row r="490" spans="1:18" ht="15.75" customHeight="1">
      <c r="A490" s="35">
        <v>44236</v>
      </c>
      <c r="B490" s="36">
        <v>438</v>
      </c>
      <c r="C490" s="37" t="str">
        <f>IF(ISNA(VLOOKUP(Tableau13[[#This Row],[Code]],'Code Véhicule'!$A$4:$C$185,2,0)),"",VLOOKUP(Tableau13[[#This Row],[Code]],'Code Véhicule'!$A$4:$C$185,2,0))</f>
        <v>Semi remorque</v>
      </c>
      <c r="D490" s="38" t="str">
        <f>IF(ISNA(VLOOKUP(Tableau13[[#This Row],[Code]],'Code Véhicule'!$A$4:$C$185,3,0)),"",VLOOKUP(Tableau13[[#This Row],[Code]],'Code Véhicule'!$A$4:$C$185,3,0))</f>
        <v>VOLVO</v>
      </c>
      <c r="E490" s="36" t="str">
        <f>IF(ISNA(VLOOKUP(Tableau13[[#This Row],[Code]],'Code Véhicule'!$A$4:$D$185,4,0))," ",VLOOKUP(Tableau13[[#This Row],[Code]],'Code Véhicule'!$A$4:$D$185,4,0))</f>
        <v xml:space="preserve">17885-A-73 </v>
      </c>
      <c r="F490" s="36">
        <v>24106</v>
      </c>
      <c r="G490" s="38" t="s">
        <v>560</v>
      </c>
      <c r="H490" s="38" t="s">
        <v>604</v>
      </c>
      <c r="I490" s="36" t="s">
        <v>780</v>
      </c>
      <c r="J490" s="39" t="s">
        <v>526</v>
      </c>
      <c r="K490" s="36">
        <v>158205</v>
      </c>
      <c r="L490" s="40">
        <v>60</v>
      </c>
      <c r="M490" s="40">
        <v>60</v>
      </c>
      <c r="N490" s="41">
        <v>44236</v>
      </c>
      <c r="O490" s="45"/>
      <c r="P490" s="45"/>
      <c r="Q490" s="176" t="e">
        <f>MONTH([1]!Tableau13[[#This Row],[Date début]])</f>
        <v>#REF!</v>
      </c>
      <c r="R490" s="180" t="e">
        <f>YEAR([1]!Tableau13[[#This Row],[Date début]])</f>
        <v>#REF!</v>
      </c>
    </row>
    <row r="491" spans="1:18" ht="45" customHeight="1">
      <c r="A491" s="35">
        <v>44237</v>
      </c>
      <c r="B491" s="36">
        <v>407</v>
      </c>
      <c r="C491" s="37" t="str">
        <f>IF(ISNA(VLOOKUP(Tableau13[[#This Row],[Code]],'Code Véhicule'!$A$4:$C$185,2,0)),"",VLOOKUP(Tableau13[[#This Row],[Code]],'Code Véhicule'!$A$4:$C$185,2,0))</f>
        <v>Semi remorque</v>
      </c>
      <c r="D491" s="38" t="str">
        <f>IF(ISNA(VLOOKUP(Tableau13[[#This Row],[Code]],'Code Véhicule'!$A$4:$C$185,3,0)),"",VLOOKUP(Tableau13[[#This Row],[Code]],'Code Véhicule'!$A$4:$C$185,3,0))</f>
        <v>MAN</v>
      </c>
      <c r="E491" s="36" t="str">
        <f>IF(ISNA(VLOOKUP(Tableau13[[#This Row],[Code]],'Code Véhicule'!$A$4:$D$185,4,0))," ",VLOOKUP(Tableau13[[#This Row],[Code]],'Code Véhicule'!$A$4:$D$185,4,0))</f>
        <v>706-A-73</v>
      </c>
      <c r="F491" s="36">
        <v>24108</v>
      </c>
      <c r="G491" s="38" t="s">
        <v>932</v>
      </c>
      <c r="H491" s="38" t="s">
        <v>957</v>
      </c>
      <c r="I491" s="36" t="s">
        <v>304</v>
      </c>
      <c r="J491" s="39" t="s">
        <v>958</v>
      </c>
      <c r="K491" s="36" t="s">
        <v>959</v>
      </c>
      <c r="L491" s="40">
        <v>1140</v>
      </c>
      <c r="M491" s="40">
        <v>1710</v>
      </c>
      <c r="N491" s="41">
        <v>44239</v>
      </c>
      <c r="O491" s="45"/>
      <c r="P491" s="45"/>
      <c r="Q491" s="176" t="e">
        <f>MONTH([1]!Tableau13[[#This Row],[Date début]])</f>
        <v>#REF!</v>
      </c>
      <c r="R491" s="180" t="e">
        <f>YEAR([1]!Tableau13[[#This Row],[Date début]])</f>
        <v>#REF!</v>
      </c>
    </row>
    <row r="492" spans="1:18" ht="15.75" customHeight="1">
      <c r="A492" s="35">
        <v>44237</v>
      </c>
      <c r="B492" s="36">
        <v>429</v>
      </c>
      <c r="C492" s="37" t="str">
        <f>IF(ISNA(VLOOKUP(Tableau13[[#This Row],[Code]],'Code Véhicule'!$A$4:$C$185,2,0)),"",VLOOKUP(Tableau13[[#This Row],[Code]],'Code Véhicule'!$A$4:$C$185,2,0))</f>
        <v>Chariot elevateur</v>
      </c>
      <c r="D492" s="38" t="str">
        <f>IF(ISNA(VLOOKUP(Tableau13[[#This Row],[Code]],'Code Véhicule'!$A$4:$C$185,3,0)),"",VLOOKUP(Tableau13[[#This Row],[Code]],'Code Véhicule'!$A$4:$C$185,3,0))</f>
        <v>Fenwick HD30</v>
      </c>
      <c r="E492" s="36" t="str">
        <f>IF(ISNA(VLOOKUP(Tableau13[[#This Row],[Code]],'Code Véhicule'!$A$4:$D$185,4,0))," ",VLOOKUP(Tableau13[[#This Row],[Code]],'Code Véhicule'!$A$4:$D$185,4,0))</f>
        <v>-</v>
      </c>
      <c r="F492" s="36">
        <v>24109</v>
      </c>
      <c r="G492" s="38" t="s">
        <v>393</v>
      </c>
      <c r="H492" s="38" t="s">
        <v>613</v>
      </c>
      <c r="I492" s="36" t="s">
        <v>302</v>
      </c>
      <c r="J492" s="39" t="s">
        <v>960</v>
      </c>
      <c r="K492" s="36">
        <v>158207</v>
      </c>
      <c r="L492" s="40">
        <v>60</v>
      </c>
      <c r="M492" s="40">
        <v>60</v>
      </c>
      <c r="N492" s="41">
        <v>44237</v>
      </c>
      <c r="O492" s="45"/>
      <c r="P492" s="45"/>
      <c r="Q492" s="176" t="e">
        <f>MONTH([1]!Tableau13[[#This Row],[Date début]])</f>
        <v>#REF!</v>
      </c>
      <c r="R492" s="180" t="e">
        <f>YEAR([1]!Tableau13[[#This Row],[Date début]])</f>
        <v>#REF!</v>
      </c>
    </row>
    <row r="493" spans="1:18" ht="30" customHeight="1">
      <c r="A493" s="35">
        <v>44238</v>
      </c>
      <c r="B493" s="36">
        <v>413</v>
      </c>
      <c r="C493" s="37" t="str">
        <f>IF(ISNA(VLOOKUP(Tableau13[[#This Row],[Code]],'Code Véhicule'!$A$4:$C$185,2,0)),"",VLOOKUP(Tableau13[[#This Row],[Code]],'Code Véhicule'!$A$4:$C$185,2,0))</f>
        <v>Chargeur</v>
      </c>
      <c r="D493" s="38" t="str">
        <f>IF(ISNA(VLOOKUP(Tableau13[[#This Row],[Code]],'Code Véhicule'!$A$4:$C$185,3,0)),"",VLOOKUP(Tableau13[[#This Row],[Code]],'Code Véhicule'!$A$4:$C$185,3,0))</f>
        <v>Caterpillar</v>
      </c>
      <c r="E493" s="36" t="str">
        <f>IF(ISNA(VLOOKUP(Tableau13[[#This Row],[Code]],'Code Véhicule'!$A$4:$D$185,4,0))," ",VLOOKUP(Tableau13[[#This Row],[Code]],'Code Véhicule'!$A$4:$D$185,4,0))</f>
        <v>-</v>
      </c>
      <c r="F493" s="36">
        <v>24110</v>
      </c>
      <c r="G493" s="38" t="s">
        <v>545</v>
      </c>
      <c r="H493" s="38" t="s">
        <v>616</v>
      </c>
      <c r="I493" s="36" t="s">
        <v>304</v>
      </c>
      <c r="J493" s="39" t="s">
        <v>496</v>
      </c>
      <c r="K493" s="36" t="s">
        <v>961</v>
      </c>
      <c r="L493" s="40">
        <v>60</v>
      </c>
      <c r="M493" s="40">
        <v>60</v>
      </c>
      <c r="N493" s="41">
        <v>44238</v>
      </c>
      <c r="O493" s="45"/>
      <c r="P493" s="45"/>
      <c r="Q493" s="176" t="e">
        <f>MONTH([1]!Tableau13[[#This Row],[Date début]])</f>
        <v>#REF!</v>
      </c>
      <c r="R493" s="180" t="e">
        <f>YEAR([1]!Tableau13[[#This Row],[Date début]])</f>
        <v>#REF!</v>
      </c>
    </row>
    <row r="494" spans="1:18" ht="15.75" customHeight="1">
      <c r="A494" s="35">
        <v>44238</v>
      </c>
      <c r="B494" s="36">
        <v>480</v>
      </c>
      <c r="C494" s="37" t="str">
        <f>IF(ISNA(VLOOKUP(Tableau13[[#This Row],[Code]],'Code Véhicule'!$A$4:$C$185,2,0)),"",VLOOKUP(Tableau13[[#This Row],[Code]],'Code Véhicule'!$A$4:$C$185,2,0))</f>
        <v>Camion</v>
      </c>
      <c r="D494" s="38" t="str">
        <f>IF(ISNA(VLOOKUP(Tableau13[[#This Row],[Code]],'Code Véhicule'!$A$4:$C$185,3,0)),"",VLOOKUP(Tableau13[[#This Row],[Code]],'Code Véhicule'!$A$4:$C$185,3,0))</f>
        <v>VOLVO</v>
      </c>
      <c r="E494" s="36" t="str">
        <f>IF(ISNA(VLOOKUP(Tableau13[[#This Row],[Code]],'Code Véhicule'!$A$4:$D$185,4,0))," ",VLOOKUP(Tableau13[[#This Row],[Code]],'Code Véhicule'!$A$4:$D$185,4,0))</f>
        <v>22299-A-73</v>
      </c>
      <c r="F494" s="36">
        <v>24111</v>
      </c>
      <c r="G494" s="38" t="s">
        <v>560</v>
      </c>
      <c r="H494" s="38" t="s">
        <v>604</v>
      </c>
      <c r="I494" s="36" t="s">
        <v>304</v>
      </c>
      <c r="J494" s="39" t="s">
        <v>530</v>
      </c>
      <c r="K494" s="36">
        <v>158216</v>
      </c>
      <c r="L494" s="40">
        <v>60</v>
      </c>
      <c r="M494" s="40">
        <v>60</v>
      </c>
      <c r="N494" s="41">
        <v>44238</v>
      </c>
      <c r="O494" s="45"/>
      <c r="P494" s="45"/>
      <c r="Q494" s="176" t="e">
        <f>MONTH([1]!Tableau13[[#This Row],[Date début]])</f>
        <v>#REF!</v>
      </c>
      <c r="R494" s="180" t="e">
        <f>YEAR([1]!Tableau13[[#This Row],[Date début]])</f>
        <v>#REF!</v>
      </c>
    </row>
    <row r="495" spans="1:18" ht="15.75" customHeight="1">
      <c r="A495" s="35">
        <v>44239</v>
      </c>
      <c r="B495" s="36">
        <v>410</v>
      </c>
      <c r="C495" s="37" t="str">
        <f>IF(ISNA(VLOOKUP(Tableau13[[#This Row],[Code]],'Code Véhicule'!$A$4:$C$185,2,0)),"",VLOOKUP(Tableau13[[#This Row],[Code]],'Code Véhicule'!$A$4:$C$185,2,0))</f>
        <v>Semi remorque</v>
      </c>
      <c r="D495" s="38" t="str">
        <f>IF(ISNA(VLOOKUP(Tableau13[[#This Row],[Code]],'Code Véhicule'!$A$4:$C$185,3,0)),"",VLOOKUP(Tableau13[[#This Row],[Code]],'Code Véhicule'!$A$4:$C$185,3,0))</f>
        <v>MAN</v>
      </c>
      <c r="E495" s="36" t="str">
        <f>IF(ISNA(VLOOKUP(Tableau13[[#This Row],[Code]],'Code Véhicule'!$A$4:$D$185,4,0))," ",VLOOKUP(Tableau13[[#This Row],[Code]],'Code Véhicule'!$A$4:$D$185,4,0))</f>
        <v xml:space="preserve">28659-D-1 </v>
      </c>
      <c r="F495" s="36">
        <v>24112</v>
      </c>
      <c r="G495" s="38" t="s">
        <v>393</v>
      </c>
      <c r="H495" s="38" t="s">
        <v>608</v>
      </c>
      <c r="I495" s="36" t="s">
        <v>304</v>
      </c>
      <c r="J495" s="39" t="s">
        <v>962</v>
      </c>
      <c r="K495" s="36">
        <v>158222</v>
      </c>
      <c r="L495" s="40">
        <v>120</v>
      </c>
      <c r="M495" s="40">
        <v>120</v>
      </c>
      <c r="N495" s="41">
        <v>44239</v>
      </c>
      <c r="O495" s="45"/>
      <c r="P495" s="45"/>
      <c r="Q495" s="176" t="e">
        <f>MONTH([1]!Tableau13[[#This Row],[Date début]])</f>
        <v>#REF!</v>
      </c>
      <c r="R495" s="180" t="e">
        <f>YEAR([1]!Tableau13[[#This Row],[Date début]])</f>
        <v>#REF!</v>
      </c>
    </row>
    <row r="496" spans="1:18" ht="90">
      <c r="A496" s="35">
        <v>44243</v>
      </c>
      <c r="B496" s="36">
        <v>471</v>
      </c>
      <c r="C496" s="37" t="str">
        <f>IF(ISNA(VLOOKUP(Tableau13[[#This Row],[Code]],'Code Véhicule'!$A$4:$C$185,2,0)),"",VLOOKUP(Tableau13[[#This Row],[Code]],'Code Véhicule'!$A$4:$C$185,2,0))</f>
        <v>Bus de transport</v>
      </c>
      <c r="D496" s="38" t="str">
        <f>IF(ISNA(VLOOKUP(Tableau13[[#This Row],[Code]],'Code Véhicule'!$A$4:$C$185,3,0)),"",VLOOKUP(Tableau13[[#This Row],[Code]],'Code Véhicule'!$A$4:$C$185,3,0))</f>
        <v xml:space="preserve">Hyundai County </v>
      </c>
      <c r="E496" s="36" t="str">
        <f>IF(ISNA(VLOOKUP(Tableau13[[#This Row],[Code]],'Code Véhicule'!$A$4:$D$185,4,0))," ",VLOOKUP(Tableau13[[#This Row],[Code]],'Code Véhicule'!$A$4:$D$185,4,0))</f>
        <v>18516-A-73</v>
      </c>
      <c r="F496" s="36">
        <v>24113</v>
      </c>
      <c r="G496" s="38" t="s">
        <v>545</v>
      </c>
      <c r="H496" s="38" t="s">
        <v>620</v>
      </c>
      <c r="I496" s="36" t="s">
        <v>304</v>
      </c>
      <c r="J496" s="39" t="s">
        <v>963</v>
      </c>
      <c r="K496" s="36" t="s">
        <v>964</v>
      </c>
      <c r="L496" s="40">
        <v>1710</v>
      </c>
      <c r="M496" s="40">
        <v>1710</v>
      </c>
      <c r="N496" s="41">
        <v>44250</v>
      </c>
      <c r="O496" s="45"/>
      <c r="P496" s="45"/>
      <c r="Q496" s="176" t="e">
        <f>MONTH([1]!Tableau13[[#This Row],[Date début]])</f>
        <v>#REF!</v>
      </c>
      <c r="R496" s="180" t="e">
        <f>YEAR([1]!Tableau13[[#This Row],[Date début]])</f>
        <v>#REF!</v>
      </c>
    </row>
    <row r="497" spans="1:18" ht="15.75" customHeight="1">
      <c r="A497" s="35">
        <v>44245</v>
      </c>
      <c r="B497" s="36">
        <v>438</v>
      </c>
      <c r="C497" s="37" t="str">
        <f>IF(ISNA(VLOOKUP(Tableau13[[#This Row],[Code]],'Code Véhicule'!$A$4:$C$185,2,0)),"",VLOOKUP(Tableau13[[#This Row],[Code]],'Code Véhicule'!$A$4:$C$185,2,0))</f>
        <v>Semi remorque</v>
      </c>
      <c r="D497" s="38" t="str">
        <f>IF(ISNA(VLOOKUP(Tableau13[[#This Row],[Code]],'Code Véhicule'!$A$4:$C$185,3,0)),"",VLOOKUP(Tableau13[[#This Row],[Code]],'Code Véhicule'!$A$4:$C$185,3,0))</f>
        <v>VOLVO</v>
      </c>
      <c r="E497" s="36" t="str">
        <f>IF(ISNA(VLOOKUP(Tableau13[[#This Row],[Code]],'Code Véhicule'!$A$4:$D$185,4,0))," ",VLOOKUP(Tableau13[[#This Row],[Code]],'Code Véhicule'!$A$4:$D$185,4,0))</f>
        <v xml:space="preserve">17885-A-73 </v>
      </c>
      <c r="F497" s="36">
        <v>24114</v>
      </c>
      <c r="G497" s="38" t="s">
        <v>560</v>
      </c>
      <c r="H497" s="38" t="s">
        <v>604</v>
      </c>
      <c r="I497" s="36" t="s">
        <v>304</v>
      </c>
      <c r="J497" s="39" t="s">
        <v>526</v>
      </c>
      <c r="K497" s="36">
        <v>158237</v>
      </c>
      <c r="L497" s="40">
        <v>120</v>
      </c>
      <c r="M497" s="40">
        <v>120</v>
      </c>
      <c r="N497" s="41">
        <v>44245</v>
      </c>
      <c r="O497" s="45"/>
      <c r="P497" s="45"/>
      <c r="Q497" s="176" t="e">
        <f>MONTH([1]!Tableau13[[#This Row],[Date début]])</f>
        <v>#REF!</v>
      </c>
      <c r="R497" s="180" t="e">
        <f>YEAR([1]!Tableau13[[#This Row],[Date début]])</f>
        <v>#REF!</v>
      </c>
    </row>
    <row r="498" spans="1:18" ht="30" customHeight="1">
      <c r="A498" s="35">
        <v>44245</v>
      </c>
      <c r="B498" s="36">
        <v>7</v>
      </c>
      <c r="C498" s="37" t="str">
        <f>IF(ISNA(VLOOKUP(Tableau13[[#This Row],[Code]],'Code Véhicule'!$A$4:$C$185,2,0)),"",VLOOKUP(Tableau13[[#This Row],[Code]],'Code Véhicule'!$A$4:$C$185,2,0))</f>
        <v>Voiture de fonction</v>
      </c>
      <c r="D498" s="38" t="str">
        <f>IF(ISNA(VLOOKUP(Tableau13[[#This Row],[Code]],'Code Véhicule'!$A$4:$C$185,3,0)),"",VLOOKUP(Tableau13[[#This Row],[Code]],'Code Véhicule'!$A$4:$C$185,3,0))</f>
        <v>Berlingo</v>
      </c>
      <c r="E498" s="36" t="str">
        <f>IF(ISNA(VLOOKUP(Tableau13[[#This Row],[Code]],'Code Véhicule'!$A$4:$D$185,4,0))," ",VLOOKUP(Tableau13[[#This Row],[Code]],'Code Véhicule'!$A$4:$D$185,4,0))</f>
        <v>50313-A-6</v>
      </c>
      <c r="F498" s="36">
        <v>24116</v>
      </c>
      <c r="G498" s="38" t="s">
        <v>393</v>
      </c>
      <c r="H498" s="38" t="s">
        <v>608</v>
      </c>
      <c r="I498" s="36" t="s">
        <v>302</v>
      </c>
      <c r="J498" s="39" t="s">
        <v>965</v>
      </c>
      <c r="K498" s="36">
        <v>158241</v>
      </c>
      <c r="L498" s="40">
        <v>60</v>
      </c>
      <c r="M498" s="40">
        <v>60</v>
      </c>
      <c r="N498" s="41">
        <v>44245</v>
      </c>
      <c r="O498" s="45"/>
      <c r="P498" s="45"/>
      <c r="Q498" s="176" t="e">
        <f>MONTH([1]!Tableau13[[#This Row],[Date début]])</f>
        <v>#REF!</v>
      </c>
      <c r="R498" s="180" t="e">
        <f>YEAR([1]!Tableau13[[#This Row],[Date début]])</f>
        <v>#REF!</v>
      </c>
    </row>
    <row r="499" spans="1:18" ht="15.75" customHeight="1">
      <c r="A499" s="35">
        <v>44246</v>
      </c>
      <c r="B499" s="36">
        <v>406</v>
      </c>
      <c r="C499" s="37" t="str">
        <f>IF(ISNA(VLOOKUP(Tableau13[[#This Row],[Code]],'Code Véhicule'!$A$4:$C$185,2,0)),"",VLOOKUP(Tableau13[[#This Row],[Code]],'Code Véhicule'!$A$4:$C$185,2,0))</f>
        <v>Semi remorque</v>
      </c>
      <c r="D499" s="38" t="str">
        <f>IF(ISNA(VLOOKUP(Tableau13[[#This Row],[Code]],'Code Véhicule'!$A$4:$C$185,3,0)),"",VLOOKUP(Tableau13[[#This Row],[Code]],'Code Véhicule'!$A$4:$C$185,3,0))</f>
        <v>VOLVO</v>
      </c>
      <c r="E499" s="36" t="str">
        <f>IF(ISNA(VLOOKUP(Tableau13[[#This Row],[Code]],'Code Véhicule'!$A$4:$D$185,4,0))," ",VLOOKUP(Tableau13[[#This Row],[Code]],'Code Véhicule'!$A$4:$D$185,4,0))</f>
        <v>70352-A-6</v>
      </c>
      <c r="F499" s="36">
        <v>24115</v>
      </c>
      <c r="G499" s="38" t="s">
        <v>334</v>
      </c>
      <c r="H499" s="38" t="s">
        <v>601</v>
      </c>
      <c r="I499" s="36" t="s">
        <v>304</v>
      </c>
      <c r="J499" s="39" t="s">
        <v>553</v>
      </c>
      <c r="K499" s="36">
        <v>158238</v>
      </c>
      <c r="L499" s="40">
        <v>60</v>
      </c>
      <c r="M499" s="40">
        <v>60</v>
      </c>
      <c r="N499" s="41">
        <v>44246</v>
      </c>
      <c r="O499" s="45"/>
      <c r="P499" s="45"/>
      <c r="Q499" s="176" t="e">
        <f>MONTH([1]!Tableau13[[#This Row],[Date début]])</f>
        <v>#REF!</v>
      </c>
      <c r="R499" s="180" t="e">
        <f>YEAR([1]!Tableau13[[#This Row],[Date début]])</f>
        <v>#REF!</v>
      </c>
    </row>
    <row r="500" spans="1:18" ht="15.75" customHeight="1">
      <c r="A500" s="35">
        <v>44247</v>
      </c>
      <c r="B500" s="36">
        <v>436</v>
      </c>
      <c r="C500" s="37" t="str">
        <f>IF(ISNA(VLOOKUP(Tableau13[[#This Row],[Code]],'Code Véhicule'!$A$4:$C$185,2,0)),"",VLOOKUP(Tableau13[[#This Row],[Code]],'Code Véhicule'!$A$4:$C$185,2,0))</f>
        <v>Camion</v>
      </c>
      <c r="D500" s="38" t="str">
        <f>IF(ISNA(VLOOKUP(Tableau13[[#This Row],[Code]],'Code Véhicule'!$A$4:$C$185,3,0)),"",VLOOKUP(Tableau13[[#This Row],[Code]],'Code Véhicule'!$A$4:$C$185,3,0))</f>
        <v>Mitsubishi</v>
      </c>
      <c r="E500" s="36" t="str">
        <f>IF(ISNA(VLOOKUP(Tableau13[[#This Row],[Code]],'Code Véhicule'!$A$4:$D$185,4,0))," ",VLOOKUP(Tableau13[[#This Row],[Code]],'Code Véhicule'!$A$4:$D$185,4,0))</f>
        <v>11470-A-73</v>
      </c>
      <c r="F500" s="36">
        <v>24117</v>
      </c>
      <c r="G500" s="38" t="s">
        <v>560</v>
      </c>
      <c r="H500" s="38" t="s">
        <v>604</v>
      </c>
      <c r="I500" s="36" t="s">
        <v>304</v>
      </c>
      <c r="J500" s="39" t="s">
        <v>372</v>
      </c>
      <c r="K500" s="36">
        <v>158242</v>
      </c>
      <c r="L500" s="40">
        <v>60</v>
      </c>
      <c r="M500" s="40">
        <v>60</v>
      </c>
      <c r="N500" s="41">
        <v>44247</v>
      </c>
      <c r="O500" s="45"/>
      <c r="P500" s="45"/>
      <c r="Q500" s="176" t="e">
        <f>MONTH([1]!Tableau13[[#This Row],[Date début]])</f>
        <v>#REF!</v>
      </c>
      <c r="R500" s="180" t="e">
        <f>YEAR([1]!Tableau13[[#This Row],[Date début]])</f>
        <v>#REF!</v>
      </c>
    </row>
    <row r="501" spans="1:18" ht="75" customHeight="1">
      <c r="A501" s="35">
        <v>44247</v>
      </c>
      <c r="B501" s="36">
        <v>410</v>
      </c>
      <c r="C501" s="37" t="str">
        <f>IF(ISNA(VLOOKUP(Tableau13[[#This Row],[Code]],'Code Véhicule'!$A$4:$C$185,2,0)),"",VLOOKUP(Tableau13[[#This Row],[Code]],'Code Véhicule'!$A$4:$C$185,2,0))</f>
        <v>Semi remorque</v>
      </c>
      <c r="D501" s="38" t="str">
        <f>IF(ISNA(VLOOKUP(Tableau13[[#This Row],[Code]],'Code Véhicule'!$A$4:$C$185,3,0)),"",VLOOKUP(Tableau13[[#This Row],[Code]],'Code Véhicule'!$A$4:$C$185,3,0))</f>
        <v>MAN</v>
      </c>
      <c r="E501" s="36" t="str">
        <f>IF(ISNA(VLOOKUP(Tableau13[[#This Row],[Code]],'Code Véhicule'!$A$4:$D$185,4,0))," ",VLOOKUP(Tableau13[[#This Row],[Code]],'Code Véhicule'!$A$4:$D$185,4,0))</f>
        <v xml:space="preserve">28659-D-1 </v>
      </c>
      <c r="F501" s="36">
        <v>24132</v>
      </c>
      <c r="G501" s="38" t="s">
        <v>523</v>
      </c>
      <c r="H501" s="38" t="s">
        <v>1003</v>
      </c>
      <c r="I501" s="36" t="s">
        <v>304</v>
      </c>
      <c r="J501" s="39" t="s">
        <v>1004</v>
      </c>
      <c r="K501" s="36" t="s">
        <v>1104</v>
      </c>
      <c r="L501" s="40">
        <v>1710</v>
      </c>
      <c r="M501" s="40">
        <v>3990</v>
      </c>
      <c r="N501" s="41">
        <v>44254</v>
      </c>
      <c r="O501" s="45"/>
      <c r="P501" s="45"/>
      <c r="Q501" s="176" t="e">
        <f>MONTH([1]!Tableau13[[#This Row],[Date début]])</f>
        <v>#REF!</v>
      </c>
      <c r="R501" s="180" t="e">
        <f>YEAR([1]!Tableau13[[#This Row],[Date début]])</f>
        <v>#REF!</v>
      </c>
    </row>
    <row r="502" spans="1:18" ht="15.75" customHeight="1">
      <c r="A502" s="35">
        <v>44248</v>
      </c>
      <c r="B502" s="36">
        <v>434</v>
      </c>
      <c r="C502" s="37" t="str">
        <f>IF(ISNA(VLOOKUP(Tableau13[[#This Row],[Code]],'Code Véhicule'!$A$4:$C$185,2,0)),"",VLOOKUP(Tableau13[[#This Row],[Code]],'Code Véhicule'!$A$4:$C$185,2,0))</f>
        <v>Chariot elevateur</v>
      </c>
      <c r="D502" s="38" t="str">
        <f>IF(ISNA(VLOOKUP(Tableau13[[#This Row],[Code]],'Code Véhicule'!$A$4:$C$185,3,0)),"",VLOOKUP(Tableau13[[#This Row],[Code]],'Code Véhicule'!$A$4:$C$185,3,0))</f>
        <v>Linde H30D</v>
      </c>
      <c r="E502" s="36" t="str">
        <f>IF(ISNA(VLOOKUP(Tableau13[[#This Row],[Code]],'Code Véhicule'!$A$4:$D$185,4,0))," ",VLOOKUP(Tableau13[[#This Row],[Code]],'Code Véhicule'!$A$4:$D$185,4,0))</f>
        <v>-</v>
      </c>
      <c r="F502" s="36">
        <v>24118</v>
      </c>
      <c r="G502" s="38" t="s">
        <v>525</v>
      </c>
      <c r="H502" s="38" t="s">
        <v>966</v>
      </c>
      <c r="I502" s="36" t="s">
        <v>304</v>
      </c>
      <c r="J502" s="39" t="s">
        <v>967</v>
      </c>
      <c r="K502" s="36"/>
      <c r="L502" s="40"/>
      <c r="M502" s="40" t="str">
        <f>IF(ISBLANK(Tableau13[[#This Row],[N BS]]),"",(Tableau13[[#This Row],[N BS]]-Tableau13[[#This Row],[Date début]]))</f>
        <v/>
      </c>
      <c r="N502" s="36"/>
      <c r="O502" s="45"/>
      <c r="P502" s="45"/>
      <c r="Q502" s="176" t="e">
        <f>MONTH([1]!Tableau13[[#This Row],[Date début]])</f>
        <v>#REF!</v>
      </c>
      <c r="R502" s="180" t="e">
        <f>YEAR([1]!Tableau13[[#This Row],[Date début]])</f>
        <v>#REF!</v>
      </c>
    </row>
    <row r="503" spans="1:18" ht="30" customHeight="1">
      <c r="A503" s="35">
        <v>44249</v>
      </c>
      <c r="B503" s="36">
        <v>417</v>
      </c>
      <c r="C503" s="37" t="str">
        <f>IF(ISNA(VLOOKUP(Tableau13[[#This Row],[Code]],'Code Véhicule'!$A$4:$C$185,2,0)),"",VLOOKUP(Tableau13[[#This Row],[Code]],'Code Véhicule'!$A$4:$C$185,2,0))</f>
        <v>Voiture de fonction</v>
      </c>
      <c r="D503" s="38" t="str">
        <f>IF(ISNA(VLOOKUP(Tableau13[[#This Row],[Code]],'Code Véhicule'!$A$4:$C$185,3,0)),"",VLOOKUP(Tableau13[[#This Row],[Code]],'Code Véhicule'!$A$4:$C$185,3,0))</f>
        <v>Berlingo</v>
      </c>
      <c r="E503" s="36" t="str">
        <f>IF(ISNA(VLOOKUP(Tableau13[[#This Row],[Code]],'Code Véhicule'!$A$4:$D$185,4,0))," ",VLOOKUP(Tableau13[[#This Row],[Code]],'Code Véhicule'!$A$4:$D$185,4,0))</f>
        <v>981-A-73</v>
      </c>
      <c r="F503" s="36">
        <v>24125</v>
      </c>
      <c r="G503" s="38" t="s">
        <v>393</v>
      </c>
      <c r="H503" s="38" t="s">
        <v>608</v>
      </c>
      <c r="I503" s="36" t="s">
        <v>302</v>
      </c>
      <c r="J503" s="39" t="s">
        <v>994</v>
      </c>
      <c r="K503" s="36">
        <v>158453</v>
      </c>
      <c r="L503" s="40">
        <v>120</v>
      </c>
      <c r="M503" s="40">
        <v>120</v>
      </c>
      <c r="N503" s="41">
        <v>44249</v>
      </c>
      <c r="O503" s="45"/>
      <c r="P503" s="45"/>
      <c r="Q503" s="176" t="e">
        <f>MONTH([1]!Tableau13[[#This Row],[Date début]])</f>
        <v>#REF!</v>
      </c>
      <c r="R503" s="180" t="e">
        <f>YEAR([1]!Tableau13[[#This Row],[Date début]])</f>
        <v>#REF!</v>
      </c>
    </row>
    <row r="504" spans="1:18" ht="30" customHeight="1">
      <c r="A504" s="35">
        <v>44249</v>
      </c>
      <c r="B504" s="36">
        <v>439</v>
      </c>
      <c r="C504" s="37" t="str">
        <f>IF(ISNA(VLOOKUP(Tableau13[[#This Row],[Code]],'Code Véhicule'!$A$4:$C$185,2,0)),"",VLOOKUP(Tableau13[[#This Row],[Code]],'Code Véhicule'!$A$4:$C$185,2,0))</f>
        <v>Semi remorque</v>
      </c>
      <c r="D504" s="38" t="str">
        <f>IF(ISNA(VLOOKUP(Tableau13[[#This Row],[Code]],'Code Véhicule'!$A$4:$C$185,3,0)),"",VLOOKUP(Tableau13[[#This Row],[Code]],'Code Véhicule'!$A$4:$C$185,3,0))</f>
        <v>VOLVO</v>
      </c>
      <c r="E504" s="36" t="str">
        <f>IF(ISNA(VLOOKUP(Tableau13[[#This Row],[Code]],'Code Véhicule'!$A$4:$D$185,4,0))," ",VLOOKUP(Tableau13[[#This Row],[Code]],'Code Véhicule'!$A$4:$D$185,4,0))</f>
        <v xml:space="preserve">17886-A-73 </v>
      </c>
      <c r="F504" s="36">
        <v>24126</v>
      </c>
      <c r="G504" s="38" t="s">
        <v>545</v>
      </c>
      <c r="H504" s="38" t="s">
        <v>995</v>
      </c>
      <c r="I504" s="36" t="s">
        <v>304</v>
      </c>
      <c r="J504" s="39" t="s">
        <v>996</v>
      </c>
      <c r="K504" s="36">
        <v>158454</v>
      </c>
      <c r="L504" s="40">
        <v>120</v>
      </c>
      <c r="M504" s="40">
        <v>120</v>
      </c>
      <c r="N504" s="41">
        <v>44249</v>
      </c>
      <c r="O504" s="45"/>
      <c r="P504" s="45"/>
      <c r="Q504" s="176" t="e">
        <f>MONTH([1]!Tableau13[[#This Row],[Date début]])</f>
        <v>#REF!</v>
      </c>
      <c r="R504" s="180" t="e">
        <f>YEAR([1]!Tableau13[[#This Row],[Date début]])</f>
        <v>#REF!</v>
      </c>
    </row>
    <row r="505" spans="1:18" ht="60" customHeight="1">
      <c r="A505" s="35">
        <v>44249</v>
      </c>
      <c r="B505" s="36">
        <v>431</v>
      </c>
      <c r="C505" s="37" t="str">
        <f>IF(ISNA(VLOOKUP(Tableau13[[#This Row],[Code]],'Code Véhicule'!$A$4:$C$185,2,0)),"",VLOOKUP(Tableau13[[#This Row],[Code]],'Code Véhicule'!$A$4:$C$185,2,0))</f>
        <v>Chariot elevateur</v>
      </c>
      <c r="D505" s="38" t="str">
        <f>IF(ISNA(VLOOKUP(Tableau13[[#This Row],[Code]],'Code Véhicule'!$A$4:$C$185,3,0)),"",VLOOKUP(Tableau13[[#This Row],[Code]],'Code Véhicule'!$A$4:$C$185,3,0))</f>
        <v>Manitou M26-2</v>
      </c>
      <c r="E505" s="36" t="str">
        <f>IF(ISNA(VLOOKUP(Tableau13[[#This Row],[Code]],'Code Véhicule'!$A$4:$D$185,4,0))," ",VLOOKUP(Tableau13[[#This Row],[Code]],'Code Véhicule'!$A$4:$D$185,4,0))</f>
        <v>-</v>
      </c>
      <c r="F505" s="36">
        <v>24135</v>
      </c>
      <c r="G505" s="38" t="s">
        <v>1008</v>
      </c>
      <c r="H505" s="38" t="s">
        <v>1009</v>
      </c>
      <c r="I505" s="36" t="s">
        <v>304</v>
      </c>
      <c r="J505" s="39" t="s">
        <v>1010</v>
      </c>
      <c r="K505" s="36" t="s">
        <v>1011</v>
      </c>
      <c r="L505" s="40">
        <v>1140</v>
      </c>
      <c r="M505" s="40">
        <v>2850</v>
      </c>
      <c r="N505" s="41">
        <v>44255</v>
      </c>
      <c r="O505" s="45"/>
      <c r="P505" s="45"/>
      <c r="Q505" s="176" t="e">
        <f>MONTH([1]!Tableau13[[#This Row],[Date début]])</f>
        <v>#REF!</v>
      </c>
      <c r="R505" s="180" t="e">
        <f>YEAR([1]!Tableau13[[#This Row],[Date début]])</f>
        <v>#REF!</v>
      </c>
    </row>
    <row r="506" spans="1:18" ht="30" customHeight="1">
      <c r="A506" s="35">
        <v>44250</v>
      </c>
      <c r="B506" s="36">
        <v>435</v>
      </c>
      <c r="C506" s="37" t="str">
        <f>IF(ISNA(VLOOKUP(Tableau13[[#This Row],[Code]],'Code Véhicule'!$A$4:$C$185,2,0)),"",VLOOKUP(Tableau13[[#This Row],[Code]],'Code Véhicule'!$A$4:$C$185,2,0))</f>
        <v>Camion</v>
      </c>
      <c r="D506" s="38" t="str">
        <f>IF(ISNA(VLOOKUP(Tableau13[[#This Row],[Code]],'Code Véhicule'!$A$4:$C$185,3,0)),"",VLOOKUP(Tableau13[[#This Row],[Code]],'Code Véhicule'!$A$4:$C$185,3,0))</f>
        <v>Mitsubishi</v>
      </c>
      <c r="E506" s="36" t="str">
        <f>IF(ISNA(VLOOKUP(Tableau13[[#This Row],[Code]],'Code Véhicule'!$A$4:$D$185,4,0))," ",VLOOKUP(Tableau13[[#This Row],[Code]],'Code Véhicule'!$A$4:$D$185,4,0))</f>
        <v xml:space="preserve"> 11469-A-73</v>
      </c>
      <c r="F506" s="36">
        <v>24127</v>
      </c>
      <c r="G506" s="38" t="s">
        <v>560</v>
      </c>
      <c r="H506" s="38" t="s">
        <v>604</v>
      </c>
      <c r="I506" s="36" t="s">
        <v>304</v>
      </c>
      <c r="J506" s="39" t="s">
        <v>997</v>
      </c>
      <c r="K506" s="36">
        <v>158456</v>
      </c>
      <c r="L506" s="40">
        <v>120</v>
      </c>
      <c r="M506" s="40">
        <v>120</v>
      </c>
      <c r="N506" s="41">
        <v>44250</v>
      </c>
      <c r="O506" s="45"/>
      <c r="P506" s="45"/>
      <c r="Q506" s="176" t="e">
        <f>MONTH([1]!Tableau13[[#This Row],[Date début]])</f>
        <v>#REF!</v>
      </c>
      <c r="R506" s="180" t="e">
        <f>YEAR([1]!Tableau13[[#This Row],[Date début]])</f>
        <v>#REF!</v>
      </c>
    </row>
    <row r="507" spans="1:18" ht="30">
      <c r="A507" s="35">
        <v>44251</v>
      </c>
      <c r="B507" s="36">
        <v>471</v>
      </c>
      <c r="C507" s="37" t="str">
        <f>IF(ISNA(VLOOKUP(Tableau13[[#This Row],[Code]],'Code Véhicule'!$A$4:$C$185,2,0)),"",VLOOKUP(Tableau13[[#This Row],[Code]],'Code Véhicule'!$A$4:$C$185,2,0))</f>
        <v>Bus de transport</v>
      </c>
      <c r="D507" s="38" t="str">
        <f>IF(ISNA(VLOOKUP(Tableau13[[#This Row],[Code]],'Code Véhicule'!$A$4:$C$185,3,0)),"",VLOOKUP(Tableau13[[#This Row],[Code]],'Code Véhicule'!$A$4:$C$185,3,0))</f>
        <v xml:space="preserve">Hyundai County </v>
      </c>
      <c r="E507" s="36" t="str">
        <f>IF(ISNA(VLOOKUP(Tableau13[[#This Row],[Code]],'Code Véhicule'!$A$4:$D$185,4,0))," ",VLOOKUP(Tableau13[[#This Row],[Code]],'Code Véhicule'!$A$4:$D$185,4,0))</f>
        <v>18516-A-73</v>
      </c>
      <c r="F507" s="36">
        <v>24128</v>
      </c>
      <c r="G507" s="38" t="s">
        <v>393</v>
      </c>
      <c r="H507" s="38" t="s">
        <v>608</v>
      </c>
      <c r="I507" s="36" t="s">
        <v>302</v>
      </c>
      <c r="J507" s="39" t="s">
        <v>998</v>
      </c>
      <c r="K507" s="36">
        <v>158461</v>
      </c>
      <c r="L507" s="40">
        <v>60</v>
      </c>
      <c r="M507" s="40">
        <v>60</v>
      </c>
      <c r="N507" s="41">
        <v>44251</v>
      </c>
      <c r="O507" s="45"/>
      <c r="P507" s="45"/>
      <c r="Q507" s="176" t="e">
        <f>MONTH([1]!Tableau13[[#This Row],[Date début]])</f>
        <v>#REF!</v>
      </c>
      <c r="R507" s="180" t="e">
        <f>YEAR([1]!Tableau13[[#This Row],[Date début]])</f>
        <v>#REF!</v>
      </c>
    </row>
    <row r="508" spans="1:18" ht="30">
      <c r="A508" s="35">
        <v>44251</v>
      </c>
      <c r="B508" s="36">
        <v>479</v>
      </c>
      <c r="C508" s="37" t="str">
        <f>IF(ISNA(VLOOKUP(Tableau13[[#This Row],[Code]],'Code Véhicule'!$A$4:$C$185,2,0)),"",VLOOKUP(Tableau13[[#This Row],[Code]],'Code Véhicule'!$A$4:$C$185,2,0))</f>
        <v>Bus de transport</v>
      </c>
      <c r="D508" s="38" t="str">
        <f>IF(ISNA(VLOOKUP(Tableau13[[#This Row],[Code]],'Code Véhicule'!$A$4:$C$185,3,0)),"",VLOOKUP(Tableau13[[#This Row],[Code]],'Code Véhicule'!$A$4:$C$185,3,0))</f>
        <v>Hyundai County</v>
      </c>
      <c r="E508" s="36" t="str">
        <f>IF(ISNA(VLOOKUP(Tableau13[[#This Row],[Code]],'Code Véhicule'!$A$4:$D$185,4,0))," ",VLOOKUP(Tableau13[[#This Row],[Code]],'Code Véhicule'!$A$4:$D$185,4,0))</f>
        <v>22772-A-73</v>
      </c>
      <c r="F508" s="36">
        <v>24129</v>
      </c>
      <c r="G508" s="38" t="s">
        <v>393</v>
      </c>
      <c r="H508" s="38" t="s">
        <v>608</v>
      </c>
      <c r="I508" s="36" t="s">
        <v>302</v>
      </c>
      <c r="J508" s="39" t="s">
        <v>999</v>
      </c>
      <c r="K508" s="36" t="s">
        <v>1000</v>
      </c>
      <c r="L508" s="40">
        <v>60</v>
      </c>
      <c r="M508" s="40">
        <v>60</v>
      </c>
      <c r="N508" s="41">
        <v>44251</v>
      </c>
      <c r="O508" s="45"/>
      <c r="P508" s="45"/>
      <c r="Q508" s="176" t="e">
        <f>MONTH([1]!Tableau13[[#This Row],[Date début]])</f>
        <v>#REF!</v>
      </c>
      <c r="R508" s="180" t="e">
        <f>YEAR([1]!Tableau13[[#This Row],[Date début]])</f>
        <v>#REF!</v>
      </c>
    </row>
    <row r="509" spans="1:18" ht="30" customHeight="1">
      <c r="A509" s="35">
        <v>44252</v>
      </c>
      <c r="B509" s="36">
        <v>406</v>
      </c>
      <c r="C509" s="37" t="str">
        <f>IF(ISNA(VLOOKUP(Tableau13[[#This Row],[Code]],'Code Véhicule'!$A$4:$C$185,2,0)),"",VLOOKUP(Tableau13[[#This Row],[Code]],'Code Véhicule'!$A$4:$C$185,2,0))</f>
        <v>Semi remorque</v>
      </c>
      <c r="D509" s="38" t="str">
        <f>IF(ISNA(VLOOKUP(Tableau13[[#This Row],[Code]],'Code Véhicule'!$A$4:$C$185,3,0)),"",VLOOKUP(Tableau13[[#This Row],[Code]],'Code Véhicule'!$A$4:$C$185,3,0))</f>
        <v>VOLVO</v>
      </c>
      <c r="E509" s="36" t="str">
        <f>IF(ISNA(VLOOKUP(Tableau13[[#This Row],[Code]],'Code Véhicule'!$A$4:$D$185,4,0))," ",VLOOKUP(Tableau13[[#This Row],[Code]],'Code Véhicule'!$A$4:$D$185,4,0))</f>
        <v>70352-A-6</v>
      </c>
      <c r="F509" s="36">
        <v>24130</v>
      </c>
      <c r="G509" s="38" t="s">
        <v>511</v>
      </c>
      <c r="H509" s="38" t="s">
        <v>672</v>
      </c>
      <c r="I509" s="36" t="s">
        <v>304</v>
      </c>
      <c r="J509" s="39" t="s">
        <v>1001</v>
      </c>
      <c r="K509" s="36">
        <v>158464</v>
      </c>
      <c r="L509" s="40">
        <v>120</v>
      </c>
      <c r="M509" s="40">
        <v>120</v>
      </c>
      <c r="N509" s="41">
        <v>44252</v>
      </c>
      <c r="O509" s="45"/>
      <c r="P509" s="45"/>
      <c r="Q509" s="176" t="e">
        <f>MONTH([1]!Tableau13[[#This Row],[Date début]])</f>
        <v>#REF!</v>
      </c>
      <c r="R509" s="180" t="e">
        <f>YEAR([1]!Tableau13[[#This Row],[Date début]])</f>
        <v>#REF!</v>
      </c>
    </row>
    <row r="510" spans="1:18" ht="15.75" customHeight="1">
      <c r="A510" s="35">
        <v>44253</v>
      </c>
      <c r="B510" s="36">
        <v>434</v>
      </c>
      <c r="C510" s="37" t="str">
        <f>IF(ISNA(VLOOKUP(Tableau13[[#This Row],[Code]],'Code Véhicule'!$A$4:$C$185,2,0)),"",VLOOKUP(Tableau13[[#This Row],[Code]],'Code Véhicule'!$A$4:$C$185,2,0))</f>
        <v>Chariot elevateur</v>
      </c>
      <c r="D510" s="38" t="str">
        <f>IF(ISNA(VLOOKUP(Tableau13[[#This Row],[Code]],'Code Véhicule'!$A$4:$C$185,3,0)),"",VLOOKUP(Tableau13[[#This Row],[Code]],'Code Véhicule'!$A$4:$C$185,3,0))</f>
        <v>Linde H30D</v>
      </c>
      <c r="E510" s="36" t="str">
        <f>IF(ISNA(VLOOKUP(Tableau13[[#This Row],[Code]],'Code Véhicule'!$A$4:$D$185,4,0))," ",VLOOKUP(Tableau13[[#This Row],[Code]],'Code Véhicule'!$A$4:$D$185,4,0))</f>
        <v>-</v>
      </c>
      <c r="F510" s="36">
        <v>24131</v>
      </c>
      <c r="G510" s="38" t="s">
        <v>393</v>
      </c>
      <c r="H510" s="38" t="s">
        <v>608</v>
      </c>
      <c r="I510" s="36"/>
      <c r="J510" s="39" t="s">
        <v>1002</v>
      </c>
      <c r="K510" s="36">
        <v>158468</v>
      </c>
      <c r="L510" s="40">
        <v>60</v>
      </c>
      <c r="M510" s="40">
        <v>60</v>
      </c>
      <c r="N510" s="41">
        <v>44253</v>
      </c>
      <c r="O510" s="45"/>
      <c r="P510" s="45"/>
      <c r="Q510" s="176" t="e">
        <f>MONTH([1]!Tableau13[[#This Row],[Date début]])</f>
        <v>#REF!</v>
      </c>
      <c r="R510" s="180" t="e">
        <f>YEAR([1]!Tableau13[[#This Row],[Date début]])</f>
        <v>#REF!</v>
      </c>
    </row>
    <row r="511" spans="1:18">
      <c r="A511" s="35">
        <v>44254</v>
      </c>
      <c r="B511" s="36">
        <v>479</v>
      </c>
      <c r="C511" s="37" t="str">
        <f>IF(ISNA(VLOOKUP(Tableau13[[#This Row],[Code]],'Code Véhicule'!$A$4:$C$185,2,0)),"",VLOOKUP(Tableau13[[#This Row],[Code]],'Code Véhicule'!$A$4:$C$185,2,0))</f>
        <v>Bus de transport</v>
      </c>
      <c r="D511" s="38" t="str">
        <f>IF(ISNA(VLOOKUP(Tableau13[[#This Row],[Code]],'Code Véhicule'!$A$4:$C$185,3,0)),"",VLOOKUP(Tableau13[[#This Row],[Code]],'Code Véhicule'!$A$4:$C$185,3,0))</f>
        <v>Hyundai County</v>
      </c>
      <c r="E511" s="36" t="str">
        <f>IF(ISNA(VLOOKUP(Tableau13[[#This Row],[Code]],'Code Véhicule'!$A$4:$D$185,4,0))," ",VLOOKUP(Tableau13[[#This Row],[Code]],'Code Véhicule'!$A$4:$D$185,4,0))</f>
        <v>22772-A-73</v>
      </c>
      <c r="F511" s="36">
        <v>24133</v>
      </c>
      <c r="G511" s="38" t="s">
        <v>545</v>
      </c>
      <c r="H511" s="38" t="s">
        <v>883</v>
      </c>
      <c r="I511" s="36" t="s">
        <v>304</v>
      </c>
      <c r="J511" s="39" t="s">
        <v>1005</v>
      </c>
      <c r="K511" s="36">
        <v>158474</v>
      </c>
      <c r="L511" s="40">
        <v>30</v>
      </c>
      <c r="M511" s="40">
        <v>30</v>
      </c>
      <c r="N511" s="41">
        <v>44254</v>
      </c>
      <c r="O511" s="45"/>
      <c r="P511" s="45"/>
      <c r="Q511" s="176" t="e">
        <f>MONTH([1]!Tableau13[[#This Row],[Date début]])</f>
        <v>#REF!</v>
      </c>
      <c r="R511" s="180" t="e">
        <f>YEAR([1]!Tableau13[[#This Row],[Date début]])</f>
        <v>#REF!</v>
      </c>
    </row>
    <row r="512" spans="1:18" ht="30" customHeight="1">
      <c r="A512" s="35">
        <v>44255</v>
      </c>
      <c r="B512" s="36">
        <v>401</v>
      </c>
      <c r="C512" s="37" t="str">
        <f>IF(ISNA(VLOOKUP(Tableau13[[#This Row],[Code]],'Code Véhicule'!$A$4:$C$185,2,0)),"",VLOOKUP(Tableau13[[#This Row],[Code]],'Code Véhicule'!$A$4:$C$185,2,0))</f>
        <v>Camion</v>
      </c>
      <c r="D512" s="38" t="str">
        <f>IF(ISNA(VLOOKUP(Tableau13[[#This Row],[Code]],'Code Véhicule'!$A$4:$C$185,3,0)),"",VLOOKUP(Tableau13[[#This Row],[Code]],'Code Véhicule'!$A$4:$C$185,3,0))</f>
        <v>ISUZU</v>
      </c>
      <c r="E512" s="36" t="str">
        <f>IF(ISNA(VLOOKUP(Tableau13[[#This Row],[Code]],'Code Véhicule'!$A$4:$D$185,4,0))," ",VLOOKUP(Tableau13[[#This Row],[Code]],'Code Véhicule'!$A$4:$D$185,4,0))</f>
        <v>26128-A-8</v>
      </c>
      <c r="F512" s="36">
        <v>24134</v>
      </c>
      <c r="G512" s="38" t="s">
        <v>1534</v>
      </c>
      <c r="H512" s="38" t="s">
        <v>1006</v>
      </c>
      <c r="I512" s="36" t="s">
        <v>304</v>
      </c>
      <c r="J512" s="39" t="s">
        <v>1007</v>
      </c>
      <c r="K512" s="36">
        <v>158476</v>
      </c>
      <c r="L512" s="40">
        <v>570</v>
      </c>
      <c r="M512" s="40">
        <v>570</v>
      </c>
      <c r="N512" s="41">
        <v>44255</v>
      </c>
      <c r="O512" s="45"/>
      <c r="P512" s="45"/>
      <c r="Q512" s="176" t="e">
        <f>MONTH([1]!Tableau13[[#This Row],[Date début]])</f>
        <v>#REF!</v>
      </c>
      <c r="R512" s="180" t="e">
        <f>YEAR([1]!Tableau13[[#This Row],[Date début]])</f>
        <v>#REF!</v>
      </c>
    </row>
    <row r="513" spans="1:18" ht="90" customHeight="1">
      <c r="A513" s="35">
        <v>44256</v>
      </c>
      <c r="B513" s="36">
        <v>413</v>
      </c>
      <c r="C513" s="37" t="str">
        <f>IF(ISNA(VLOOKUP(Tableau13[[#This Row],[Code]],'Code Véhicule'!$A$4:$C$185,2,0)),"",VLOOKUP(Tableau13[[#This Row],[Code]],'Code Véhicule'!$A$4:$C$185,2,0))</f>
        <v>Chargeur</v>
      </c>
      <c r="D513" s="38" t="str">
        <f>IF(ISNA(VLOOKUP(Tableau13[[#This Row],[Code]],'Code Véhicule'!$A$4:$C$185,3,0)),"",VLOOKUP(Tableau13[[#This Row],[Code]],'Code Véhicule'!$A$4:$C$185,3,0))</f>
        <v>Caterpillar</v>
      </c>
      <c r="E513" s="36" t="str">
        <f>IF(ISNA(VLOOKUP(Tableau13[[#This Row],[Code]],'Code Véhicule'!$A$4:$D$185,4,0))," ",VLOOKUP(Tableau13[[#This Row],[Code]],'Code Véhicule'!$A$4:$D$185,4,0))</f>
        <v>-</v>
      </c>
      <c r="F513" s="36">
        <v>24124</v>
      </c>
      <c r="G513" s="38" t="s">
        <v>991</v>
      </c>
      <c r="H513" s="38" t="s">
        <v>992</v>
      </c>
      <c r="I513" s="36" t="s">
        <v>304</v>
      </c>
      <c r="J513" s="39" t="s">
        <v>1217</v>
      </c>
      <c r="K513" s="36" t="s">
        <v>993</v>
      </c>
      <c r="L513" s="40">
        <v>5700</v>
      </c>
      <c r="M513" s="40">
        <v>10260</v>
      </c>
      <c r="N513" s="41">
        <v>44274</v>
      </c>
      <c r="O513" s="45"/>
      <c r="P513" s="45"/>
      <c r="Q513" s="176" t="e">
        <f>MONTH([1]!Tableau13[[#This Row],[Date début]])</f>
        <v>#REF!</v>
      </c>
      <c r="R513" s="180" t="e">
        <f>YEAR([1]!Tableau13[[#This Row],[Date début]])</f>
        <v>#REF!</v>
      </c>
    </row>
    <row r="514" spans="1:18" ht="45" customHeight="1">
      <c r="A514" s="35">
        <v>44257</v>
      </c>
      <c r="B514" s="36">
        <v>430</v>
      </c>
      <c r="C514" s="37" t="str">
        <f>IF(ISNA(VLOOKUP(Tableau13[[#This Row],[Code]],'Code Véhicule'!$A$4:$C$185,2,0)),"",VLOOKUP(Tableau13[[#This Row],[Code]],'Code Véhicule'!$A$4:$C$185,2,0))</f>
        <v>Chariot elevateur</v>
      </c>
      <c r="D514" s="38" t="str">
        <f>IF(ISNA(VLOOKUP(Tableau13[[#This Row],[Code]],'Code Véhicule'!$A$4:$C$185,3,0)),"",VLOOKUP(Tableau13[[#This Row],[Code]],'Code Véhicule'!$A$4:$C$185,3,0))</f>
        <v>Fenwick  H40</v>
      </c>
      <c r="E514" s="36" t="str">
        <f>IF(ISNA(VLOOKUP(Tableau13[[#This Row],[Code]],'Code Véhicule'!$A$4:$D$185,4,0))," ",VLOOKUP(Tableau13[[#This Row],[Code]],'Code Véhicule'!$A$4:$D$185,4,0))</f>
        <v>-</v>
      </c>
      <c r="F514" s="36">
        <v>24136</v>
      </c>
      <c r="G514" s="38" t="s">
        <v>393</v>
      </c>
      <c r="H514" s="38" t="s">
        <v>608</v>
      </c>
      <c r="I514" s="36" t="s">
        <v>302</v>
      </c>
      <c r="J514" s="39" t="s">
        <v>1012</v>
      </c>
      <c r="K514" s="36">
        <v>158485</v>
      </c>
      <c r="L514" s="40">
        <v>120</v>
      </c>
      <c r="M514" s="40">
        <v>120</v>
      </c>
      <c r="N514" s="41">
        <v>44257</v>
      </c>
      <c r="O514" s="45"/>
      <c r="P514" s="45"/>
      <c r="Q514" s="176" t="e">
        <f>MONTH([1]!Tableau13[[#This Row],[Date début]])</f>
        <v>#REF!</v>
      </c>
      <c r="R514" s="180" t="e">
        <f>YEAR([1]!Tableau13[[#This Row],[Date début]])</f>
        <v>#REF!</v>
      </c>
    </row>
    <row r="515" spans="1:18" ht="90" customHeight="1">
      <c r="A515" s="35">
        <v>44259</v>
      </c>
      <c r="B515" s="36">
        <v>422</v>
      </c>
      <c r="C515" s="37" t="str">
        <f>IF(ISNA(VLOOKUP(Tableau13[[#This Row],[Code]],'Code Véhicule'!$A$4:$C$185,2,0)),"",VLOOKUP(Tableau13[[#This Row],[Code]],'Code Véhicule'!$A$4:$C$185,2,0))</f>
        <v>Chariot elevateur</v>
      </c>
      <c r="D515" s="38" t="str">
        <f>IF(ISNA(VLOOKUP(Tableau13[[#This Row],[Code]],'Code Véhicule'!$A$4:$C$185,3,0)),"",VLOOKUP(Tableau13[[#This Row],[Code]],'Code Véhicule'!$A$4:$C$185,3,0))</f>
        <v>Fenwick LINDE 25</v>
      </c>
      <c r="E515" s="36" t="str">
        <f>IF(ISNA(VLOOKUP(Tableau13[[#This Row],[Code]],'Code Véhicule'!$A$4:$D$185,4,0))," ",VLOOKUP(Tableau13[[#This Row],[Code]],'Code Véhicule'!$A$4:$D$185,4,0))</f>
        <v>-</v>
      </c>
      <c r="F515" s="36">
        <v>24123</v>
      </c>
      <c r="G515" s="38" t="s">
        <v>987</v>
      </c>
      <c r="H515" s="38" t="s">
        <v>988</v>
      </c>
      <c r="I515" s="36" t="s">
        <v>304</v>
      </c>
      <c r="J515" s="39" t="s">
        <v>989</v>
      </c>
      <c r="K515" s="36" t="s">
        <v>990</v>
      </c>
      <c r="L515" s="40">
        <v>3400</v>
      </c>
      <c r="M515" s="40">
        <v>13600</v>
      </c>
      <c r="N515" s="41">
        <v>44285</v>
      </c>
      <c r="O515" s="45"/>
      <c r="P515" s="45"/>
      <c r="Q515" s="176" t="e">
        <f>MONTH([1]!Tableau13[[#This Row],[Date début]])</f>
        <v>#REF!</v>
      </c>
      <c r="R515" s="180" t="e">
        <f>YEAR([1]!Tableau13[[#This Row],[Date début]])</f>
        <v>#REF!</v>
      </c>
    </row>
    <row r="516" spans="1:18" ht="75" customHeight="1">
      <c r="A516" s="35">
        <v>44265</v>
      </c>
      <c r="B516" s="36">
        <v>411</v>
      </c>
      <c r="C516" s="37" t="str">
        <f>IF(ISNA(VLOOKUP(Tableau13[[#This Row],[Code]],'Code Véhicule'!$A$4:$C$185,2,0)),"",VLOOKUP(Tableau13[[#This Row],[Code]],'Code Véhicule'!$A$4:$C$185,2,0))</f>
        <v>Camion</v>
      </c>
      <c r="D516" s="38" t="str">
        <f>IF(ISNA(VLOOKUP(Tableau13[[#This Row],[Code]],'Code Véhicule'!$A$4:$C$185,3,0)),"",VLOOKUP(Tableau13[[#This Row],[Code]],'Code Véhicule'!$A$4:$C$185,3,0))</f>
        <v>Renault</v>
      </c>
      <c r="E516" s="36" t="str">
        <f>IF(ISNA(VLOOKUP(Tableau13[[#This Row],[Code]],'Code Véhicule'!$A$4:$D$185,4,0))," ",VLOOKUP(Tableau13[[#This Row],[Code]],'Code Véhicule'!$A$4:$D$185,4,0))</f>
        <v>25636-A-13</v>
      </c>
      <c r="F516" s="36">
        <v>24144</v>
      </c>
      <c r="G516" s="38" t="s">
        <v>1016</v>
      </c>
      <c r="H516" s="38" t="s">
        <v>779</v>
      </c>
      <c r="I516" s="36" t="s">
        <v>304</v>
      </c>
      <c r="J516" s="61" t="s">
        <v>1022</v>
      </c>
      <c r="K516" s="36" t="s">
        <v>1023</v>
      </c>
      <c r="L516" s="40">
        <v>1140</v>
      </c>
      <c r="M516" s="40">
        <v>1140</v>
      </c>
      <c r="N516" s="41">
        <v>44270</v>
      </c>
      <c r="O516" s="45"/>
      <c r="P516" s="45"/>
      <c r="Q516" s="176" t="e">
        <f>MONTH([1]!Tableau13[[#This Row],[Date début]])</f>
        <v>#REF!</v>
      </c>
      <c r="R516" s="180" t="e">
        <f>YEAR([1]!Tableau13[[#This Row],[Date début]])</f>
        <v>#REF!</v>
      </c>
    </row>
    <row r="517" spans="1:18" ht="30">
      <c r="A517" s="35">
        <v>44266</v>
      </c>
      <c r="B517" s="36">
        <v>471</v>
      </c>
      <c r="C517" s="37" t="str">
        <f>IF(ISNA(VLOOKUP(Tableau13[[#This Row],[Code]],'Code Véhicule'!$A$4:$C$185,2,0)),"",VLOOKUP(Tableau13[[#This Row],[Code]],'Code Véhicule'!$A$4:$C$185,2,0))</f>
        <v>Bus de transport</v>
      </c>
      <c r="D517" s="38" t="str">
        <f>IF(ISNA(VLOOKUP(Tableau13[[#This Row],[Code]],'Code Véhicule'!$A$4:$C$185,3,0)),"",VLOOKUP(Tableau13[[#This Row],[Code]],'Code Véhicule'!$A$4:$C$185,3,0))</f>
        <v xml:space="preserve">Hyundai County </v>
      </c>
      <c r="E517" s="36" t="str">
        <f>IF(ISNA(VLOOKUP(Tableau13[[#This Row],[Code]],'Code Véhicule'!$A$4:$D$185,4,0))," ",VLOOKUP(Tableau13[[#This Row],[Code]],'Code Véhicule'!$A$4:$D$185,4,0))</f>
        <v>18516-A-73</v>
      </c>
      <c r="F517" s="36">
        <v>24137</v>
      </c>
      <c r="G517" s="38" t="s">
        <v>493</v>
      </c>
      <c r="H517" s="38" t="s">
        <v>1013</v>
      </c>
      <c r="I517" s="36" t="s">
        <v>304</v>
      </c>
      <c r="J517" s="39" t="s">
        <v>1014</v>
      </c>
      <c r="K517" s="36">
        <v>159611</v>
      </c>
      <c r="L517" s="40">
        <v>570</v>
      </c>
      <c r="M517" s="40">
        <v>570</v>
      </c>
      <c r="N517" s="41">
        <v>44266</v>
      </c>
      <c r="O517" s="45"/>
      <c r="P517" s="45"/>
      <c r="Q517" s="176" t="e">
        <f>MONTH([1]!Tableau13[[#This Row],[Date début]])</f>
        <v>#REF!</v>
      </c>
      <c r="R517" s="180" t="e">
        <f>YEAR([1]!Tableau13[[#This Row],[Date début]])</f>
        <v>#REF!</v>
      </c>
    </row>
    <row r="518" spans="1:18" ht="15.75" customHeight="1">
      <c r="A518" s="35">
        <v>44267</v>
      </c>
      <c r="B518" s="36">
        <v>403</v>
      </c>
      <c r="C518" s="37" t="str">
        <f>IF(ISNA(VLOOKUP(Tableau13[[#This Row],[Code]],'Code Véhicule'!$A$4:$C$185,2,0)),"",VLOOKUP(Tableau13[[#This Row],[Code]],'Code Véhicule'!$A$4:$C$185,2,0))</f>
        <v>Camion</v>
      </c>
      <c r="D518" s="38" t="str">
        <f>IF(ISNA(VLOOKUP(Tableau13[[#This Row],[Code]],'Code Véhicule'!$A$4:$C$185,3,0)),"",VLOOKUP(Tableau13[[#This Row],[Code]],'Code Véhicule'!$A$4:$C$185,3,0))</f>
        <v>MAN</v>
      </c>
      <c r="E518" s="36" t="str">
        <f>IF(ISNA(VLOOKUP(Tableau13[[#This Row],[Code]],'Code Véhicule'!$A$4:$D$185,4,0))," ",VLOOKUP(Tableau13[[#This Row],[Code]],'Code Véhicule'!$A$4:$D$185,4,0))</f>
        <v>4790-B-8</v>
      </c>
      <c r="F518" s="36">
        <v>24138</v>
      </c>
      <c r="G518" s="38" t="s">
        <v>560</v>
      </c>
      <c r="H518" s="38" t="s">
        <v>604</v>
      </c>
      <c r="I518" s="36" t="s">
        <v>304</v>
      </c>
      <c r="J518" s="39" t="s">
        <v>1015</v>
      </c>
      <c r="K518" s="36">
        <v>159612</v>
      </c>
      <c r="L518" s="40">
        <v>120</v>
      </c>
      <c r="M518" s="40">
        <v>120</v>
      </c>
      <c r="N518" s="41">
        <v>44239</v>
      </c>
      <c r="O518" s="45"/>
      <c r="P518" s="45"/>
      <c r="Q518" s="176" t="e">
        <f>MONTH([1]!Tableau13[[#This Row],[Date début]])</f>
        <v>#REF!</v>
      </c>
      <c r="R518" s="180" t="e">
        <f>YEAR([1]!Tableau13[[#This Row],[Date début]])</f>
        <v>#REF!</v>
      </c>
    </row>
    <row r="519" spans="1:18" ht="75" customHeight="1">
      <c r="A519" s="35">
        <v>44267</v>
      </c>
      <c r="B519" s="36">
        <v>403</v>
      </c>
      <c r="C519" s="37" t="str">
        <f>IF(ISNA(VLOOKUP(Tableau13[[#This Row],[Code]],'Code Véhicule'!$A$4:$C$185,2,0)),"",VLOOKUP(Tableau13[[#This Row],[Code]],'Code Véhicule'!$A$4:$C$185,2,0))</f>
        <v>Camion</v>
      </c>
      <c r="D519" s="38" t="str">
        <f>IF(ISNA(VLOOKUP(Tableau13[[#This Row],[Code]],'Code Véhicule'!$A$4:$C$185,3,0)),"",VLOOKUP(Tableau13[[#This Row],[Code]],'Code Véhicule'!$A$4:$C$185,3,0))</f>
        <v>MAN</v>
      </c>
      <c r="E519" s="36" t="str">
        <f>IF(ISNA(VLOOKUP(Tableau13[[#This Row],[Code]],'Code Véhicule'!$A$4:$D$185,4,0))," ",VLOOKUP(Tableau13[[#This Row],[Code]],'Code Véhicule'!$A$4:$D$185,4,0))</f>
        <v>4790-B-8</v>
      </c>
      <c r="F519" s="36">
        <v>24146</v>
      </c>
      <c r="G519" s="38" t="s">
        <v>585</v>
      </c>
      <c r="H519" s="38" t="s">
        <v>1024</v>
      </c>
      <c r="I519" s="36" t="s">
        <v>304</v>
      </c>
      <c r="J519" s="61" t="s">
        <v>1025</v>
      </c>
      <c r="K519" s="36">
        <v>159640</v>
      </c>
      <c r="L519" s="40">
        <v>2280</v>
      </c>
      <c r="M519" s="40">
        <v>5700</v>
      </c>
      <c r="N519" s="41">
        <v>44277</v>
      </c>
      <c r="O519" s="45"/>
      <c r="P519" s="45"/>
      <c r="Q519" s="176" t="e">
        <f>MONTH([1]!Tableau13[[#This Row],[Date début]])</f>
        <v>#REF!</v>
      </c>
      <c r="R519" s="180" t="e">
        <f>YEAR([1]!Tableau13[[#This Row],[Date début]])</f>
        <v>#REF!</v>
      </c>
    </row>
    <row r="520" spans="1:18" ht="30" customHeight="1">
      <c r="A520" s="35">
        <v>44268</v>
      </c>
      <c r="B520" s="36">
        <v>419</v>
      </c>
      <c r="C520" s="37" t="str">
        <f>IF(ISNA(VLOOKUP(Tableau13[[#This Row],[Code]],'Code Véhicule'!$A$4:$C$185,2,0)),"",VLOOKUP(Tableau13[[#This Row],[Code]],'Code Véhicule'!$A$4:$C$185,2,0))</f>
        <v>Voiture de fonction</v>
      </c>
      <c r="D520" s="38" t="str">
        <f>IF(ISNA(VLOOKUP(Tableau13[[#This Row],[Code]],'Code Véhicule'!$A$4:$C$185,3,0)),"",VLOOKUP(Tableau13[[#This Row],[Code]],'Code Véhicule'!$A$4:$C$185,3,0))</f>
        <v>kangoo</v>
      </c>
      <c r="E520" s="36" t="str">
        <f>IF(ISNA(VLOOKUP(Tableau13[[#This Row],[Code]],'Code Véhicule'!$A$4:$D$185,4,0))," ",VLOOKUP(Tableau13[[#This Row],[Code]],'Code Véhicule'!$A$4:$D$185,4,0))</f>
        <v>4812-A-73</v>
      </c>
      <c r="F520" s="36">
        <v>24139</v>
      </c>
      <c r="G520" s="38" t="s">
        <v>1016</v>
      </c>
      <c r="H520" s="38" t="s">
        <v>1017</v>
      </c>
      <c r="I520" s="36" t="s">
        <v>304</v>
      </c>
      <c r="J520" s="39" t="s">
        <v>1018</v>
      </c>
      <c r="K520" s="36">
        <v>159617</v>
      </c>
      <c r="L520" s="40">
        <v>360</v>
      </c>
      <c r="M520" s="40">
        <v>360</v>
      </c>
      <c r="N520" s="41">
        <v>44268</v>
      </c>
      <c r="O520" s="45"/>
      <c r="P520" s="45"/>
      <c r="Q520" s="176" t="e">
        <f>MONTH([1]!Tableau13[[#This Row],[Date début]])</f>
        <v>#REF!</v>
      </c>
      <c r="R520" s="180" t="e">
        <f>YEAR([1]!Tableau13[[#This Row],[Date début]])</f>
        <v>#REF!</v>
      </c>
    </row>
    <row r="521" spans="1:18" ht="15.75" customHeight="1">
      <c r="A521" s="35">
        <v>44270</v>
      </c>
      <c r="B521" s="36">
        <v>410</v>
      </c>
      <c r="C521" s="37" t="str">
        <f>IF(ISNA(VLOOKUP(Tableau13[[#This Row],[Code]],'Code Véhicule'!$A$4:$C$185,2,0)),"",VLOOKUP(Tableau13[[#This Row],[Code]],'Code Véhicule'!$A$4:$C$185,2,0))</f>
        <v>Semi remorque</v>
      </c>
      <c r="D521" s="38" t="str">
        <f>IF(ISNA(VLOOKUP(Tableau13[[#This Row],[Code]],'Code Véhicule'!$A$4:$C$185,3,0)),"",VLOOKUP(Tableau13[[#This Row],[Code]],'Code Véhicule'!$A$4:$C$185,3,0))</f>
        <v>MAN</v>
      </c>
      <c r="E521" s="36" t="str">
        <f>IF(ISNA(VLOOKUP(Tableau13[[#This Row],[Code]],'Code Véhicule'!$A$4:$D$185,4,0))," ",VLOOKUP(Tableau13[[#This Row],[Code]],'Code Véhicule'!$A$4:$D$185,4,0))</f>
        <v xml:space="preserve">28659-D-1 </v>
      </c>
      <c r="F521" s="36">
        <v>24140</v>
      </c>
      <c r="G521" s="38" t="s">
        <v>560</v>
      </c>
      <c r="H521" s="38" t="s">
        <v>604</v>
      </c>
      <c r="I521" s="36" t="s">
        <v>304</v>
      </c>
      <c r="J521" s="39" t="s">
        <v>372</v>
      </c>
      <c r="K521" s="36">
        <v>159620</v>
      </c>
      <c r="L521" s="40">
        <v>120</v>
      </c>
      <c r="M521" s="40">
        <v>120</v>
      </c>
      <c r="N521" s="41">
        <v>44270</v>
      </c>
      <c r="O521" s="45"/>
      <c r="P521" s="45"/>
      <c r="Q521" s="176" t="e">
        <f>MONTH([1]!Tableau13[[#This Row],[Date début]])</f>
        <v>#REF!</v>
      </c>
      <c r="R521" s="180" t="e">
        <f>YEAR([1]!Tableau13[[#This Row],[Date début]])</f>
        <v>#REF!</v>
      </c>
    </row>
    <row r="522" spans="1:18" ht="60" customHeight="1">
      <c r="A522" s="35">
        <v>44271</v>
      </c>
      <c r="B522" s="36">
        <v>426</v>
      </c>
      <c r="C522" s="37" t="str">
        <f>IF(ISNA(VLOOKUP(Tableau13[[#This Row],[Code]],'Code Véhicule'!$A$4:$C$185,2,0)),"",VLOOKUP(Tableau13[[#This Row],[Code]],'Code Véhicule'!$A$4:$C$185,2,0))</f>
        <v>Chariot elevateur</v>
      </c>
      <c r="D522" s="38" t="str">
        <f>IF(ISNA(VLOOKUP(Tableau13[[#This Row],[Code]],'Code Véhicule'!$A$4:$C$185,3,0)),"",VLOOKUP(Tableau13[[#This Row],[Code]],'Code Véhicule'!$A$4:$C$185,3,0))</f>
        <v>Manitou MC 30</v>
      </c>
      <c r="E522" s="36" t="str">
        <f>IF(ISNA(VLOOKUP(Tableau13[[#This Row],[Code]],'Code Véhicule'!$A$4:$D$185,4,0))," ",VLOOKUP(Tableau13[[#This Row],[Code]],'Code Véhicule'!$A$4:$D$185,4,0))</f>
        <v>-</v>
      </c>
      <c r="F522" s="36">
        <v>24141</v>
      </c>
      <c r="G522" s="38" t="s">
        <v>393</v>
      </c>
      <c r="H522" s="38" t="s">
        <v>608</v>
      </c>
      <c r="I522" s="36" t="s">
        <v>302</v>
      </c>
      <c r="J522" s="39" t="s">
        <v>1019</v>
      </c>
      <c r="K522" s="36">
        <v>159622</v>
      </c>
      <c r="L522" s="40">
        <v>570</v>
      </c>
      <c r="M522" s="40">
        <v>570</v>
      </c>
      <c r="N522" s="41">
        <v>44243</v>
      </c>
      <c r="O522" s="45"/>
      <c r="P522" s="45"/>
      <c r="Q522" s="176" t="e">
        <f>MONTH([1]!Tableau13[[#This Row],[Date début]])</f>
        <v>#REF!</v>
      </c>
      <c r="R522" s="180" t="e">
        <f>YEAR([1]!Tableau13[[#This Row],[Date début]])</f>
        <v>#REF!</v>
      </c>
    </row>
    <row r="523" spans="1:18" ht="30" customHeight="1">
      <c r="A523" s="35">
        <v>44271</v>
      </c>
      <c r="B523" s="36">
        <v>403</v>
      </c>
      <c r="C523" s="37" t="str">
        <f>IF(ISNA(VLOOKUP(Tableau13[[#This Row],[Code]],'Code Véhicule'!$A$4:$C$185,2,0)),"",VLOOKUP(Tableau13[[#This Row],[Code]],'Code Véhicule'!$A$4:$C$185,2,0))</f>
        <v>Camion</v>
      </c>
      <c r="D523" s="38" t="str">
        <f>IF(ISNA(VLOOKUP(Tableau13[[#This Row],[Code]],'Code Véhicule'!$A$4:$C$185,3,0)),"",VLOOKUP(Tableau13[[#This Row],[Code]],'Code Véhicule'!$A$4:$C$185,3,0))</f>
        <v>MAN</v>
      </c>
      <c r="E523" s="36" t="str">
        <f>IF(ISNA(VLOOKUP(Tableau13[[#This Row],[Code]],'Code Véhicule'!$A$4:$D$185,4,0))," ",VLOOKUP(Tableau13[[#This Row],[Code]],'Code Véhicule'!$A$4:$D$185,4,0))</f>
        <v>4790-B-8</v>
      </c>
      <c r="F523" s="36">
        <v>24142</v>
      </c>
      <c r="G523" s="38" t="s">
        <v>353</v>
      </c>
      <c r="H523" s="38" t="s">
        <v>701</v>
      </c>
      <c r="I523" s="36" t="s">
        <v>304</v>
      </c>
      <c r="J523" s="39" t="s">
        <v>1020</v>
      </c>
      <c r="K523" s="36">
        <v>159625</v>
      </c>
      <c r="L523" s="40">
        <v>60</v>
      </c>
      <c r="M523" s="40">
        <v>60</v>
      </c>
      <c r="N523" s="41">
        <v>44271</v>
      </c>
      <c r="O523" s="45"/>
      <c r="P523" s="45"/>
      <c r="Q523" s="176" t="e">
        <f>MONTH([1]!Tableau13[[#This Row],[Date début]])</f>
        <v>#REF!</v>
      </c>
      <c r="R523" s="180" t="e">
        <f>YEAR([1]!Tableau13[[#This Row],[Date début]])</f>
        <v>#REF!</v>
      </c>
    </row>
    <row r="524" spans="1:18" ht="45" customHeight="1">
      <c r="A524" s="35">
        <v>44272</v>
      </c>
      <c r="B524" s="36">
        <v>435</v>
      </c>
      <c r="C524" s="37" t="str">
        <f>IF(ISNA(VLOOKUP(Tableau13[[#This Row],[Code]],'Code Véhicule'!$A$4:$C$185,2,0)),"",VLOOKUP(Tableau13[[#This Row],[Code]],'Code Véhicule'!$A$4:$C$185,2,0))</f>
        <v>Camion</v>
      </c>
      <c r="D524" s="38" t="str">
        <f>IF(ISNA(VLOOKUP(Tableau13[[#This Row],[Code]],'Code Véhicule'!$A$4:$C$185,3,0)),"",VLOOKUP(Tableau13[[#This Row],[Code]],'Code Véhicule'!$A$4:$C$185,3,0))</f>
        <v>Mitsubishi</v>
      </c>
      <c r="E524" s="36" t="str">
        <f>IF(ISNA(VLOOKUP(Tableau13[[#This Row],[Code]],'Code Véhicule'!$A$4:$D$185,4,0))," ",VLOOKUP(Tableau13[[#This Row],[Code]],'Code Véhicule'!$A$4:$D$185,4,0))</f>
        <v xml:space="preserve"> 11469-A-73</v>
      </c>
      <c r="F524" s="36">
        <v>24143</v>
      </c>
      <c r="G524" s="38" t="s">
        <v>393</v>
      </c>
      <c r="H524" s="38" t="s">
        <v>608</v>
      </c>
      <c r="I524" s="36" t="s">
        <v>302</v>
      </c>
      <c r="J524" s="61" t="s">
        <v>1021</v>
      </c>
      <c r="K524" s="36">
        <v>159627</v>
      </c>
      <c r="L524" s="40">
        <v>120</v>
      </c>
      <c r="M524" s="40">
        <v>120</v>
      </c>
      <c r="N524" s="41">
        <v>44272</v>
      </c>
      <c r="O524" s="45"/>
      <c r="P524" s="45"/>
      <c r="Q524" s="176" t="e">
        <f>MONTH([1]!Tableau13[[#This Row],[Date début]])</f>
        <v>#REF!</v>
      </c>
      <c r="R524" s="180" t="e">
        <f>YEAR([1]!Tableau13[[#This Row],[Date début]])</f>
        <v>#REF!</v>
      </c>
    </row>
    <row r="525" spans="1:18" ht="15.75" customHeight="1">
      <c r="A525" s="35">
        <v>44273</v>
      </c>
      <c r="B525" s="36">
        <v>438</v>
      </c>
      <c r="C525" s="37" t="str">
        <f>IF(ISNA(VLOOKUP(Tableau13[[#This Row],[Code]],'Code Véhicule'!$A$4:$C$185,2,0)),"",VLOOKUP(Tableau13[[#This Row],[Code]],'Code Véhicule'!$A$4:$C$185,2,0))</f>
        <v>Semi remorque</v>
      </c>
      <c r="D525" s="38" t="str">
        <f>IF(ISNA(VLOOKUP(Tableau13[[#This Row],[Code]],'Code Véhicule'!$A$4:$C$185,3,0)),"",VLOOKUP(Tableau13[[#This Row],[Code]],'Code Véhicule'!$A$4:$C$185,3,0))</f>
        <v>VOLVO</v>
      </c>
      <c r="E525" s="36" t="str">
        <f>IF(ISNA(VLOOKUP(Tableau13[[#This Row],[Code]],'Code Véhicule'!$A$4:$D$185,4,0))," ",VLOOKUP(Tableau13[[#This Row],[Code]],'Code Véhicule'!$A$4:$D$185,4,0))</f>
        <v xml:space="preserve">17885-A-73 </v>
      </c>
      <c r="F525" s="36">
        <v>24145</v>
      </c>
      <c r="G525" s="38" t="s">
        <v>523</v>
      </c>
      <c r="H525" s="38" t="s">
        <v>606</v>
      </c>
      <c r="I525" s="36" t="s">
        <v>304</v>
      </c>
      <c r="J525" s="61" t="s">
        <v>484</v>
      </c>
      <c r="K525" s="36">
        <v>159638</v>
      </c>
      <c r="L525" s="40">
        <v>60</v>
      </c>
      <c r="M525" s="40">
        <v>60</v>
      </c>
      <c r="N525" s="41">
        <v>44273</v>
      </c>
      <c r="O525" s="45"/>
      <c r="P525" s="45"/>
      <c r="Q525" s="176" t="e">
        <f>MONTH([1]!Tableau13[[#This Row],[Date début]])</f>
        <v>#REF!</v>
      </c>
      <c r="R525" s="180" t="e">
        <f>YEAR([1]!Tableau13[[#This Row],[Date début]])</f>
        <v>#REF!</v>
      </c>
    </row>
    <row r="526" spans="1:18" ht="30">
      <c r="A526" s="35">
        <v>44277</v>
      </c>
      <c r="B526" s="36">
        <v>471</v>
      </c>
      <c r="C526" s="37" t="str">
        <f>IF(ISNA(VLOOKUP(Tableau13[[#This Row],[Code]],'Code Véhicule'!$A$4:$C$185,2,0)),"",VLOOKUP(Tableau13[[#This Row],[Code]],'Code Véhicule'!$A$4:$C$185,2,0))</f>
        <v>Bus de transport</v>
      </c>
      <c r="D526" s="38" t="str">
        <f>IF(ISNA(VLOOKUP(Tableau13[[#This Row],[Code]],'Code Véhicule'!$A$4:$C$185,3,0)),"",VLOOKUP(Tableau13[[#This Row],[Code]],'Code Véhicule'!$A$4:$C$185,3,0))</f>
        <v xml:space="preserve">Hyundai County </v>
      </c>
      <c r="E526" s="36" t="str">
        <f>IF(ISNA(VLOOKUP(Tableau13[[#This Row],[Code]],'Code Véhicule'!$A$4:$D$185,4,0))," ",VLOOKUP(Tableau13[[#This Row],[Code]],'Code Véhicule'!$A$4:$D$185,4,0))</f>
        <v>18516-A-73</v>
      </c>
      <c r="F526" s="36">
        <v>24147</v>
      </c>
      <c r="G526" s="38" t="s">
        <v>1026</v>
      </c>
      <c r="H526" s="38" t="s">
        <v>1027</v>
      </c>
      <c r="I526" s="36" t="s">
        <v>304</v>
      </c>
      <c r="J526" s="61" t="s">
        <v>1028</v>
      </c>
      <c r="K526" s="36">
        <v>160454</v>
      </c>
      <c r="L526" s="40">
        <v>360</v>
      </c>
      <c r="M526" s="40">
        <v>360</v>
      </c>
      <c r="N526" s="41">
        <v>44277</v>
      </c>
      <c r="O526" s="45"/>
      <c r="P526" s="45"/>
      <c r="Q526" s="176" t="e">
        <f>MONTH([1]!Tableau13[[#This Row],[Date début]])</f>
        <v>#REF!</v>
      </c>
      <c r="R526" s="180" t="e">
        <f>YEAR([1]!Tableau13[[#This Row],[Date début]])</f>
        <v>#REF!</v>
      </c>
    </row>
    <row r="527" spans="1:18" ht="15.75" customHeight="1">
      <c r="A527" s="35">
        <v>44277</v>
      </c>
      <c r="B527" s="36">
        <v>429</v>
      </c>
      <c r="C527" s="37" t="str">
        <f>IF(ISNA(VLOOKUP(Tableau13[[#This Row],[Code]],'Code Véhicule'!$A$4:$C$185,2,0)),"",VLOOKUP(Tableau13[[#This Row],[Code]],'Code Véhicule'!$A$4:$C$185,2,0))</f>
        <v>Chariot elevateur</v>
      </c>
      <c r="D527" s="38" t="str">
        <f>IF(ISNA(VLOOKUP(Tableau13[[#This Row],[Code]],'Code Véhicule'!$A$4:$C$185,3,0)),"",VLOOKUP(Tableau13[[#This Row],[Code]],'Code Véhicule'!$A$4:$C$185,3,0))</f>
        <v>Fenwick HD30</v>
      </c>
      <c r="E527" s="36" t="str">
        <f>IF(ISNA(VLOOKUP(Tableau13[[#This Row],[Code]],'Code Véhicule'!$A$4:$D$185,4,0))," ",VLOOKUP(Tableau13[[#This Row],[Code]],'Code Véhicule'!$A$4:$D$185,4,0))</f>
        <v>-</v>
      </c>
      <c r="F527" s="36">
        <v>24148</v>
      </c>
      <c r="G527" s="38" t="s">
        <v>455</v>
      </c>
      <c r="H527" s="38" t="s">
        <v>1029</v>
      </c>
      <c r="I527" s="36" t="s">
        <v>304</v>
      </c>
      <c r="J527" s="61" t="s">
        <v>1030</v>
      </c>
      <c r="K527" s="36">
        <v>160455</v>
      </c>
      <c r="L527" s="40">
        <v>120</v>
      </c>
      <c r="M527" s="40">
        <v>120</v>
      </c>
      <c r="N527" s="41">
        <v>44277</v>
      </c>
      <c r="O527" s="45"/>
      <c r="P527" s="45"/>
      <c r="Q527" s="176" t="e">
        <f>MONTH([1]!Tableau13[[#This Row],[Date début]])</f>
        <v>#REF!</v>
      </c>
      <c r="R527" s="180" t="e">
        <f>YEAR([1]!Tableau13[[#This Row],[Date début]])</f>
        <v>#REF!</v>
      </c>
    </row>
    <row r="528" spans="1:18" ht="75" customHeight="1">
      <c r="A528" s="35">
        <v>44277</v>
      </c>
      <c r="B528" s="36">
        <v>436</v>
      </c>
      <c r="C528" s="37" t="str">
        <f>IF(ISNA(VLOOKUP(Tableau13[[#This Row],[Code]],'Code Véhicule'!$A$4:$C$185,2,0)),"",VLOOKUP(Tableau13[[#This Row],[Code]],'Code Véhicule'!$A$4:$C$185,2,0))</f>
        <v>Camion</v>
      </c>
      <c r="D528" s="38" t="str">
        <f>IF(ISNA(VLOOKUP(Tableau13[[#This Row],[Code]],'Code Véhicule'!$A$4:$C$185,3,0)),"",VLOOKUP(Tableau13[[#This Row],[Code]],'Code Véhicule'!$A$4:$C$185,3,0))</f>
        <v>Mitsubishi</v>
      </c>
      <c r="E528" s="36" t="str">
        <f>IF(ISNA(VLOOKUP(Tableau13[[#This Row],[Code]],'Code Véhicule'!$A$4:$D$185,4,0))," ",VLOOKUP(Tableau13[[#This Row],[Code]],'Code Véhicule'!$A$4:$D$185,4,0))</f>
        <v>11470-A-73</v>
      </c>
      <c r="F528" s="36">
        <v>24150</v>
      </c>
      <c r="G528" s="38" t="s">
        <v>537</v>
      </c>
      <c r="H528" s="38" t="s">
        <v>1031</v>
      </c>
      <c r="I528" s="36" t="s">
        <v>304</v>
      </c>
      <c r="J528" s="61" t="s">
        <v>1032</v>
      </c>
      <c r="K528" s="36">
        <v>160456</v>
      </c>
      <c r="L528" s="40">
        <v>180</v>
      </c>
      <c r="M528" s="40">
        <v>180</v>
      </c>
      <c r="N528" s="41">
        <v>44277</v>
      </c>
      <c r="O528" s="45"/>
      <c r="P528" s="45"/>
      <c r="Q528" s="176" t="e">
        <f>MONTH([1]!Tableau13[[#This Row],[Date début]])</f>
        <v>#REF!</v>
      </c>
      <c r="R528" s="180" t="e">
        <f>YEAR([1]!Tableau13[[#This Row],[Date début]])</f>
        <v>#REF!</v>
      </c>
    </row>
    <row r="529" spans="1:18" ht="30" customHeight="1">
      <c r="A529" s="35">
        <v>44277</v>
      </c>
      <c r="B529" s="36">
        <v>430</v>
      </c>
      <c r="C529" s="37" t="str">
        <f>IF(ISNA(VLOOKUP(Tableau13[[#This Row],[Code]],'Code Véhicule'!$A$4:$C$185,2,0)),"",VLOOKUP(Tableau13[[#This Row],[Code]],'Code Véhicule'!$A$4:$C$185,2,0))</f>
        <v>Chariot elevateur</v>
      </c>
      <c r="D529" s="38" t="str">
        <f>IF(ISNA(VLOOKUP(Tableau13[[#This Row],[Code]],'Code Véhicule'!$A$4:$C$185,3,0)),"",VLOOKUP(Tableau13[[#This Row],[Code]],'Code Véhicule'!$A$4:$C$185,3,0))</f>
        <v>Fenwick  H40</v>
      </c>
      <c r="E529" s="36" t="str">
        <f>IF(ISNA(VLOOKUP(Tableau13[[#This Row],[Code]],'Code Véhicule'!$A$4:$D$185,4,0))," ",VLOOKUP(Tableau13[[#This Row],[Code]],'Code Véhicule'!$A$4:$D$185,4,0))</f>
        <v>-</v>
      </c>
      <c r="F529" s="36">
        <v>24266</v>
      </c>
      <c r="G529" s="38" t="s">
        <v>1046</v>
      </c>
      <c r="H529" s="38" t="s">
        <v>1047</v>
      </c>
      <c r="I529" s="36" t="s">
        <v>304</v>
      </c>
      <c r="J529" s="61" t="s">
        <v>1048</v>
      </c>
      <c r="K529" s="36" t="s">
        <v>1049</v>
      </c>
      <c r="L529" s="40">
        <v>1710</v>
      </c>
      <c r="M529" s="40">
        <v>5130</v>
      </c>
      <c r="N529" s="41">
        <v>44287</v>
      </c>
      <c r="O529" s="45"/>
      <c r="P529" s="45"/>
      <c r="Q529" s="176" t="e">
        <f>MONTH([1]!Tableau13[[#This Row],[Date début]])</f>
        <v>#REF!</v>
      </c>
      <c r="R529" s="180" t="e">
        <f>YEAR([1]!Tableau13[[#This Row],[Date début]])</f>
        <v>#REF!</v>
      </c>
    </row>
    <row r="530" spans="1:18" ht="15.75" customHeight="1">
      <c r="A530" s="35">
        <v>44279</v>
      </c>
      <c r="B530" s="36">
        <v>411</v>
      </c>
      <c r="C530" s="37" t="str">
        <f>IF(ISNA(VLOOKUP(Tableau13[[#This Row],[Code]],'Code Véhicule'!$A$4:$C$185,2,0)),"",VLOOKUP(Tableau13[[#This Row],[Code]],'Code Véhicule'!$A$4:$C$185,2,0))</f>
        <v>Camion</v>
      </c>
      <c r="D530" s="38" t="str">
        <f>IF(ISNA(VLOOKUP(Tableau13[[#This Row],[Code]],'Code Véhicule'!$A$4:$C$185,3,0)),"",VLOOKUP(Tableau13[[#This Row],[Code]],'Code Véhicule'!$A$4:$C$185,3,0))</f>
        <v>Renault</v>
      </c>
      <c r="E530" s="36" t="str">
        <f>IF(ISNA(VLOOKUP(Tableau13[[#This Row],[Code]],'Code Véhicule'!$A$4:$D$185,4,0))," ",VLOOKUP(Tableau13[[#This Row],[Code]],'Code Véhicule'!$A$4:$D$185,4,0))</f>
        <v>25636-A-13</v>
      </c>
      <c r="F530" s="36">
        <v>24251</v>
      </c>
      <c r="G530" s="38" t="s">
        <v>523</v>
      </c>
      <c r="H530" s="38" t="s">
        <v>606</v>
      </c>
      <c r="I530" s="36" t="s">
        <v>304</v>
      </c>
      <c r="J530" s="61" t="s">
        <v>553</v>
      </c>
      <c r="K530" s="36">
        <v>160467</v>
      </c>
      <c r="L530" s="40">
        <v>120</v>
      </c>
      <c r="M530" s="40">
        <v>120</v>
      </c>
      <c r="N530" s="41">
        <v>44279</v>
      </c>
      <c r="O530" s="45"/>
      <c r="P530" s="45"/>
      <c r="Q530" s="176" t="e">
        <f>MONTH([1]!Tableau13[[#This Row],[Date début]])</f>
        <v>#REF!</v>
      </c>
      <c r="R530" s="180" t="e">
        <f>YEAR([1]!Tableau13[[#This Row],[Date début]])</f>
        <v>#REF!</v>
      </c>
    </row>
    <row r="531" spans="1:18" ht="30" customHeight="1">
      <c r="A531" s="35">
        <v>44281</v>
      </c>
      <c r="B531" s="36">
        <v>429</v>
      </c>
      <c r="C531" s="37" t="str">
        <f>IF(ISNA(VLOOKUP(Tableau13[[#This Row],[Code]],'Code Véhicule'!$A$4:$C$185,2,0)),"",VLOOKUP(Tableau13[[#This Row],[Code]],'Code Véhicule'!$A$4:$C$185,2,0))</f>
        <v>Chariot elevateur</v>
      </c>
      <c r="D531" s="38" t="str">
        <f>IF(ISNA(VLOOKUP(Tableau13[[#This Row],[Code]],'Code Véhicule'!$A$4:$C$185,3,0)),"",VLOOKUP(Tableau13[[#This Row],[Code]],'Code Véhicule'!$A$4:$C$185,3,0))</f>
        <v>Fenwick HD30</v>
      </c>
      <c r="E531" s="36" t="str">
        <f>IF(ISNA(VLOOKUP(Tableau13[[#This Row],[Code]],'Code Véhicule'!$A$4:$D$185,4,0))," ",VLOOKUP(Tableau13[[#This Row],[Code]],'Code Véhicule'!$A$4:$D$185,4,0))</f>
        <v>-</v>
      </c>
      <c r="F531" s="36">
        <v>24268</v>
      </c>
      <c r="G531" s="38" t="s">
        <v>493</v>
      </c>
      <c r="H531" s="38" t="s">
        <v>1050</v>
      </c>
      <c r="I531" s="36" t="s">
        <v>304</v>
      </c>
      <c r="J531" s="61" t="s">
        <v>1051</v>
      </c>
      <c r="K531" s="36">
        <v>160491</v>
      </c>
      <c r="L531" s="40"/>
      <c r="M531" s="40"/>
      <c r="N531" s="36"/>
      <c r="O531" s="45"/>
      <c r="P531" s="45"/>
      <c r="Q531" s="176" t="e">
        <f>MONTH([1]!Tableau13[[#This Row],[Date début]])</f>
        <v>#REF!</v>
      </c>
      <c r="R531" s="180" t="e">
        <f>YEAR([1]!Tableau13[[#This Row],[Date début]])</f>
        <v>#REF!</v>
      </c>
    </row>
    <row r="532" spans="1:18" ht="30" customHeight="1">
      <c r="A532" s="35">
        <v>44282</v>
      </c>
      <c r="B532" s="36">
        <v>482</v>
      </c>
      <c r="C532" s="37" t="str">
        <f>IF(ISNA(VLOOKUP(Tableau13[[#This Row],[Code]],'Code Véhicule'!$A$4:$C$185,2,0)),"",VLOOKUP(Tableau13[[#This Row],[Code]],'Code Véhicule'!$A$4:$C$185,2,0))</f>
        <v>Pick up</v>
      </c>
      <c r="D532" s="38" t="str">
        <f>IF(ISNA(VLOOKUP(Tableau13[[#This Row],[Code]],'Code Véhicule'!$A$4:$C$185,3,0)),"",VLOOKUP(Tableau13[[#This Row],[Code]],'Code Véhicule'!$A$4:$C$185,3,0))</f>
        <v>HYUNDAI H100</v>
      </c>
      <c r="E532" s="36" t="str">
        <f>IF(ISNA(VLOOKUP(Tableau13[[#This Row],[Code]],'Code Véhicule'!$A$4:$D$185,4,0))," ",VLOOKUP(Tableau13[[#This Row],[Code]],'Code Véhicule'!$A$4:$D$185,4,0))</f>
        <v>22368-A-73</v>
      </c>
      <c r="F532" s="36">
        <v>24252</v>
      </c>
      <c r="G532" s="38" t="s">
        <v>393</v>
      </c>
      <c r="H532" s="38" t="s">
        <v>608</v>
      </c>
      <c r="I532" s="36" t="s">
        <v>304</v>
      </c>
      <c r="J532" s="61" t="s">
        <v>1033</v>
      </c>
      <c r="K532" s="36" t="s">
        <v>1103</v>
      </c>
      <c r="L532" s="40">
        <v>570</v>
      </c>
      <c r="M532" s="40">
        <v>570</v>
      </c>
      <c r="N532" s="41">
        <v>44282</v>
      </c>
      <c r="O532" s="45"/>
      <c r="P532" s="45"/>
      <c r="Q532" s="176" t="e">
        <f>MONTH([1]!Tableau13[[#This Row],[Date début]])</f>
        <v>#REF!</v>
      </c>
      <c r="R532" s="180" t="e">
        <f>YEAR([1]!Tableau13[[#This Row],[Date début]])</f>
        <v>#REF!</v>
      </c>
    </row>
    <row r="533" spans="1:18" ht="15.75" customHeight="1">
      <c r="A533" s="35">
        <v>44282</v>
      </c>
      <c r="B533" s="36">
        <v>410</v>
      </c>
      <c r="C533" s="37" t="str">
        <f>IF(ISNA(VLOOKUP(Tableau13[[#This Row],[Code]],'Code Véhicule'!$A$4:$C$185,2,0)),"",VLOOKUP(Tableau13[[#This Row],[Code]],'Code Véhicule'!$A$4:$C$185,2,0))</f>
        <v>Semi remorque</v>
      </c>
      <c r="D533" s="38" t="str">
        <f>IF(ISNA(VLOOKUP(Tableau13[[#This Row],[Code]],'Code Véhicule'!$A$4:$C$185,3,0)),"",VLOOKUP(Tableau13[[#This Row],[Code]],'Code Véhicule'!$A$4:$C$185,3,0))</f>
        <v>MAN</v>
      </c>
      <c r="E533" s="36" t="str">
        <f>IF(ISNA(VLOOKUP(Tableau13[[#This Row],[Code]],'Code Véhicule'!$A$4:$D$185,4,0))," ",VLOOKUP(Tableau13[[#This Row],[Code]],'Code Véhicule'!$A$4:$D$185,4,0))</f>
        <v xml:space="preserve">28659-D-1 </v>
      </c>
      <c r="F533" s="36">
        <v>24253</v>
      </c>
      <c r="G533" s="38" t="s">
        <v>353</v>
      </c>
      <c r="H533" s="38" t="s">
        <v>1034</v>
      </c>
      <c r="I533" s="36" t="s">
        <v>304</v>
      </c>
      <c r="J533" s="61" t="s">
        <v>1035</v>
      </c>
      <c r="K533" s="36">
        <v>160475</v>
      </c>
      <c r="L533" s="40">
        <v>180</v>
      </c>
      <c r="M533" s="40">
        <v>180</v>
      </c>
      <c r="N533" s="41">
        <v>44282</v>
      </c>
      <c r="O533" s="45"/>
      <c r="P533" s="45"/>
      <c r="Q533" s="176" t="e">
        <f>MONTH([1]!Tableau13[[#This Row],[Date début]])</f>
        <v>#REF!</v>
      </c>
      <c r="R533" s="180" t="e">
        <f>YEAR([1]!Tableau13[[#This Row],[Date début]])</f>
        <v>#REF!</v>
      </c>
    </row>
    <row r="534" spans="1:18" ht="30" customHeight="1">
      <c r="A534" s="35">
        <v>44282</v>
      </c>
      <c r="B534" s="36">
        <v>435</v>
      </c>
      <c r="C534" s="37" t="str">
        <f>IF(ISNA(VLOOKUP(Tableau13[[#This Row],[Code]],'Code Véhicule'!$A$4:$C$185,2,0)),"",VLOOKUP(Tableau13[[#This Row],[Code]],'Code Véhicule'!$A$4:$C$185,2,0))</f>
        <v>Camion</v>
      </c>
      <c r="D534" s="38" t="str">
        <f>IF(ISNA(VLOOKUP(Tableau13[[#This Row],[Code]],'Code Véhicule'!$A$4:$C$185,3,0)),"",VLOOKUP(Tableau13[[#This Row],[Code]],'Code Véhicule'!$A$4:$C$185,3,0))</f>
        <v>Mitsubishi</v>
      </c>
      <c r="E534" s="36" t="str">
        <f>IF(ISNA(VLOOKUP(Tableau13[[#This Row],[Code]],'Code Véhicule'!$A$4:$D$185,4,0))," ",VLOOKUP(Tableau13[[#This Row],[Code]],'Code Véhicule'!$A$4:$D$185,4,0))</f>
        <v xml:space="preserve"> 11469-A-73</v>
      </c>
      <c r="F534" s="36">
        <v>24254</v>
      </c>
      <c r="G534" s="38" t="s">
        <v>393</v>
      </c>
      <c r="H534" s="38" t="s">
        <v>608</v>
      </c>
      <c r="I534" s="36" t="s">
        <v>304</v>
      </c>
      <c r="J534" s="61" t="s">
        <v>1117</v>
      </c>
      <c r="K534" s="36">
        <v>160477</v>
      </c>
      <c r="L534" s="40">
        <v>120</v>
      </c>
      <c r="M534" s="40">
        <v>120</v>
      </c>
      <c r="N534" s="41">
        <v>44282</v>
      </c>
      <c r="O534" s="45"/>
      <c r="P534" s="45"/>
      <c r="Q534" s="176" t="e">
        <f>MONTH([1]!Tableau13[[#This Row],[Date début]])</f>
        <v>#REF!</v>
      </c>
      <c r="R534" s="180" t="e">
        <f>YEAR([1]!Tableau13[[#This Row],[Date début]])</f>
        <v>#REF!</v>
      </c>
    </row>
    <row r="535" spans="1:18" ht="45" customHeight="1">
      <c r="A535" s="35">
        <v>44284</v>
      </c>
      <c r="B535" s="36">
        <v>403</v>
      </c>
      <c r="C535" s="37" t="str">
        <f>IF(ISNA(VLOOKUP(Tableau13[[#This Row],[Code]],'Code Véhicule'!$A$4:$C$185,2,0)),"",VLOOKUP(Tableau13[[#This Row],[Code]],'Code Véhicule'!$A$4:$C$185,2,0))</f>
        <v>Camion</v>
      </c>
      <c r="D535" s="38" t="str">
        <f>IF(ISNA(VLOOKUP(Tableau13[[#This Row],[Code]],'Code Véhicule'!$A$4:$C$185,3,0)),"",VLOOKUP(Tableau13[[#This Row],[Code]],'Code Véhicule'!$A$4:$C$185,3,0))</f>
        <v>MAN</v>
      </c>
      <c r="E535" s="36" t="str">
        <f>IF(ISNA(VLOOKUP(Tableau13[[#This Row],[Code]],'Code Véhicule'!$A$4:$D$185,4,0))," ",VLOOKUP(Tableau13[[#This Row],[Code]],'Code Véhicule'!$A$4:$D$185,4,0))</f>
        <v>4790-B-8</v>
      </c>
      <c r="F535" s="36">
        <v>24255</v>
      </c>
      <c r="G535" s="38" t="s">
        <v>313</v>
      </c>
      <c r="H535" s="38" t="s">
        <v>841</v>
      </c>
      <c r="I535" s="36" t="s">
        <v>304</v>
      </c>
      <c r="J535" s="61" t="s">
        <v>1036</v>
      </c>
      <c r="K535" s="36">
        <v>160478</v>
      </c>
      <c r="L535" s="40">
        <v>570</v>
      </c>
      <c r="M535" s="40">
        <v>570</v>
      </c>
      <c r="N535" s="41">
        <v>44283</v>
      </c>
      <c r="O535" s="45"/>
      <c r="P535" s="45"/>
      <c r="Q535" s="176" t="e">
        <f>MONTH([1]!Tableau13[[#This Row],[Date début]])</f>
        <v>#REF!</v>
      </c>
      <c r="R535" s="180" t="e">
        <f>YEAR([1]!Tableau13[[#This Row],[Date début]])</f>
        <v>#REF!</v>
      </c>
    </row>
    <row r="536" spans="1:18" ht="15.75" customHeight="1">
      <c r="A536" s="35">
        <v>44284</v>
      </c>
      <c r="B536" s="36">
        <v>403</v>
      </c>
      <c r="C536" s="37" t="str">
        <f>IF(ISNA(VLOOKUP(Tableau13[[#This Row],[Code]],'Code Véhicule'!$A$4:$C$185,2,0)),"",VLOOKUP(Tableau13[[#This Row],[Code]],'Code Véhicule'!$A$4:$C$185,2,0))</f>
        <v>Camion</v>
      </c>
      <c r="D536" s="38" t="str">
        <f>IF(ISNA(VLOOKUP(Tableau13[[#This Row],[Code]],'Code Véhicule'!$A$4:$C$185,3,0)),"",VLOOKUP(Tableau13[[#This Row],[Code]],'Code Véhicule'!$A$4:$C$185,3,0))</f>
        <v>MAN</v>
      </c>
      <c r="E536" s="36" t="str">
        <f>IF(ISNA(VLOOKUP(Tableau13[[#This Row],[Code]],'Code Véhicule'!$A$4:$D$185,4,0))," ",VLOOKUP(Tableau13[[#This Row],[Code]],'Code Véhicule'!$A$4:$D$185,4,0))</f>
        <v>4790-B-8</v>
      </c>
      <c r="F536" s="36">
        <v>24556</v>
      </c>
      <c r="G536" s="38" t="s">
        <v>1037</v>
      </c>
      <c r="H536" s="38" t="s">
        <v>1038</v>
      </c>
      <c r="I536" s="36" t="s">
        <v>304</v>
      </c>
      <c r="J536" s="61" t="s">
        <v>1039</v>
      </c>
      <c r="K536" s="36"/>
      <c r="L536" s="40">
        <v>120</v>
      </c>
      <c r="M536" s="40">
        <v>120</v>
      </c>
      <c r="N536" s="41">
        <v>44284</v>
      </c>
      <c r="O536" s="45"/>
      <c r="P536" s="45"/>
      <c r="Q536" s="176" t="e">
        <f>MONTH([1]!Tableau13[[#This Row],[Date début]])</f>
        <v>#REF!</v>
      </c>
      <c r="R536" s="180" t="e">
        <f>YEAR([1]!Tableau13[[#This Row],[Date début]])</f>
        <v>#REF!</v>
      </c>
    </row>
    <row r="537" spans="1:18" ht="15.75" customHeight="1">
      <c r="A537" s="35">
        <v>44284</v>
      </c>
      <c r="B537" s="36">
        <v>480</v>
      </c>
      <c r="C537" s="37" t="str">
        <f>IF(ISNA(VLOOKUP(Tableau13[[#This Row],[Code]],'Code Véhicule'!$A$4:$C$185,2,0)),"",VLOOKUP(Tableau13[[#This Row],[Code]],'Code Véhicule'!$A$4:$C$185,2,0))</f>
        <v>Camion</v>
      </c>
      <c r="D537" s="38" t="str">
        <f>IF(ISNA(VLOOKUP(Tableau13[[#This Row],[Code]],'Code Véhicule'!$A$4:$C$185,3,0)),"",VLOOKUP(Tableau13[[#This Row],[Code]],'Code Véhicule'!$A$4:$C$185,3,0))</f>
        <v>VOLVO</v>
      </c>
      <c r="E537" s="36" t="str">
        <f>IF(ISNA(VLOOKUP(Tableau13[[#This Row],[Code]],'Code Véhicule'!$A$4:$D$185,4,0))," ",VLOOKUP(Tableau13[[#This Row],[Code]],'Code Véhicule'!$A$4:$D$185,4,0))</f>
        <v>22299-A-73</v>
      </c>
      <c r="F537" s="36">
        <v>24557</v>
      </c>
      <c r="G537" s="38" t="s">
        <v>327</v>
      </c>
      <c r="H537" s="38" t="s">
        <v>701</v>
      </c>
      <c r="I537" s="36" t="s">
        <v>304</v>
      </c>
      <c r="J537" s="61" t="s">
        <v>1040</v>
      </c>
      <c r="K537" s="36"/>
      <c r="L537" s="40">
        <v>30</v>
      </c>
      <c r="M537" s="40">
        <v>30</v>
      </c>
      <c r="N537" s="41">
        <v>44284</v>
      </c>
      <c r="O537" s="45"/>
      <c r="P537" s="45"/>
      <c r="Q537" s="176" t="e">
        <f>MONTH([1]!Tableau13[[#This Row],[Date début]])</f>
        <v>#REF!</v>
      </c>
      <c r="R537" s="180" t="e">
        <f>YEAR([1]!Tableau13[[#This Row],[Date début]])</f>
        <v>#REF!</v>
      </c>
    </row>
    <row r="538" spans="1:18" ht="30" customHeight="1">
      <c r="A538" s="35">
        <v>44284</v>
      </c>
      <c r="B538" s="36">
        <v>434</v>
      </c>
      <c r="C538" s="37" t="str">
        <f>IF(ISNA(VLOOKUP(Tableau13[[#This Row],[Code]],'Code Véhicule'!$A$4:$C$185,2,0)),"",VLOOKUP(Tableau13[[#This Row],[Code]],'Code Véhicule'!$A$4:$C$185,2,0))</f>
        <v>Chariot elevateur</v>
      </c>
      <c r="D538" s="38" t="str">
        <f>IF(ISNA(VLOOKUP(Tableau13[[#This Row],[Code]],'Code Véhicule'!$A$4:$C$185,3,0)),"",VLOOKUP(Tableau13[[#This Row],[Code]],'Code Véhicule'!$A$4:$C$185,3,0))</f>
        <v>Linde H30D</v>
      </c>
      <c r="E538" s="36" t="str">
        <f>IF(ISNA(VLOOKUP(Tableau13[[#This Row],[Code]],'Code Véhicule'!$A$4:$D$185,4,0))," ",VLOOKUP(Tableau13[[#This Row],[Code]],'Code Véhicule'!$A$4:$D$185,4,0))</f>
        <v>-</v>
      </c>
      <c r="F538" s="36">
        <v>24258</v>
      </c>
      <c r="G538" s="38" t="s">
        <v>511</v>
      </c>
      <c r="H538" s="38" t="s">
        <v>928</v>
      </c>
      <c r="I538" s="36" t="s">
        <v>304</v>
      </c>
      <c r="J538" s="61" t="s">
        <v>1041</v>
      </c>
      <c r="K538" s="36">
        <v>160484</v>
      </c>
      <c r="L538" s="40">
        <v>240</v>
      </c>
      <c r="M538" s="40">
        <v>240</v>
      </c>
      <c r="N538" s="41">
        <v>44284</v>
      </c>
      <c r="O538" s="45"/>
      <c r="P538" s="45"/>
      <c r="Q538" s="176" t="e">
        <f>MONTH([1]!Tableau13[[#This Row],[Date début]])</f>
        <v>#REF!</v>
      </c>
      <c r="R538" s="180" t="e">
        <f>YEAR([1]!Tableau13[[#This Row],[Date début]])</f>
        <v>#REF!</v>
      </c>
    </row>
    <row r="539" spans="1:18" ht="15.75" customHeight="1">
      <c r="A539" s="35">
        <v>44284</v>
      </c>
      <c r="B539" s="36">
        <v>472</v>
      </c>
      <c r="C539" s="37" t="str">
        <f>IF(ISNA(VLOOKUP(Tableau13[[#This Row],[Code]],'Code Véhicule'!$A$4:$C$185,2,0)),"",VLOOKUP(Tableau13[[#This Row],[Code]],'Code Véhicule'!$A$4:$C$185,2,0))</f>
        <v>Chariot elevateur</v>
      </c>
      <c r="D539" s="38" t="str">
        <f>IF(ISNA(VLOOKUP(Tableau13[[#This Row],[Code]],'Code Véhicule'!$A$4:$C$185,3,0)),"",VLOOKUP(Tableau13[[#This Row],[Code]],'Code Véhicule'!$A$4:$C$185,3,0))</f>
        <v>Linde H25d</v>
      </c>
      <c r="E539" s="36" t="str">
        <f>IF(ISNA(VLOOKUP(Tableau13[[#This Row],[Code]],'Code Véhicule'!$A$4:$D$185,4,0))," ",VLOOKUP(Tableau13[[#This Row],[Code]],'Code Véhicule'!$A$4:$D$185,4,0))</f>
        <v>-</v>
      </c>
      <c r="F539" s="36">
        <v>24259</v>
      </c>
      <c r="G539" s="38" t="s">
        <v>935</v>
      </c>
      <c r="H539" s="38" t="s">
        <v>935</v>
      </c>
      <c r="I539" s="36" t="s">
        <v>304</v>
      </c>
      <c r="J539" s="61" t="s">
        <v>1042</v>
      </c>
      <c r="K539" s="36"/>
      <c r="L539" s="40">
        <v>360</v>
      </c>
      <c r="M539" s="40">
        <v>360</v>
      </c>
      <c r="N539" s="41">
        <v>44284</v>
      </c>
      <c r="O539" s="45"/>
      <c r="P539" s="45"/>
      <c r="Q539" s="176" t="e">
        <f>MONTH([1]!Tableau13[[#This Row],[Date début]])</f>
        <v>#REF!</v>
      </c>
      <c r="R539" s="180" t="e">
        <f>YEAR([1]!Tableau13[[#This Row],[Date début]])</f>
        <v>#REF!</v>
      </c>
    </row>
    <row r="540" spans="1:18" ht="15.75" customHeight="1">
      <c r="A540" s="35">
        <v>44285</v>
      </c>
      <c r="B540" s="36">
        <v>438</v>
      </c>
      <c r="C540" s="37" t="str">
        <f>IF(ISNA(VLOOKUP(Tableau13[[#This Row],[Code]],'Code Véhicule'!$A$4:$C$185,2,0)),"",VLOOKUP(Tableau13[[#This Row],[Code]],'Code Véhicule'!$A$4:$C$185,2,0))</f>
        <v>Semi remorque</v>
      </c>
      <c r="D540" s="38" t="str">
        <f>IF(ISNA(VLOOKUP(Tableau13[[#This Row],[Code]],'Code Véhicule'!$A$4:$C$185,3,0)),"",VLOOKUP(Tableau13[[#This Row],[Code]],'Code Véhicule'!$A$4:$C$185,3,0))</f>
        <v>VOLVO</v>
      </c>
      <c r="E540" s="36" t="str">
        <f>IF(ISNA(VLOOKUP(Tableau13[[#This Row],[Code]],'Code Véhicule'!$A$4:$D$185,4,0))," ",VLOOKUP(Tableau13[[#This Row],[Code]],'Code Véhicule'!$A$4:$D$185,4,0))</f>
        <v xml:space="preserve">17885-A-73 </v>
      </c>
      <c r="F540" s="36">
        <v>24260</v>
      </c>
      <c r="G540" s="38" t="s">
        <v>560</v>
      </c>
      <c r="H540" s="38" t="s">
        <v>604</v>
      </c>
      <c r="I540" s="36" t="s">
        <v>304</v>
      </c>
      <c r="J540" s="37" t="s">
        <v>526</v>
      </c>
      <c r="K540" s="36">
        <v>160489</v>
      </c>
      <c r="L540" s="40">
        <v>120</v>
      </c>
      <c r="M540" s="40">
        <v>120</v>
      </c>
      <c r="N540" s="41">
        <v>44285</v>
      </c>
      <c r="O540" s="45"/>
      <c r="P540" s="45"/>
      <c r="Q540" s="176" t="e">
        <f>MONTH([1]!Tableau13[[#This Row],[Date début]])</f>
        <v>#REF!</v>
      </c>
      <c r="R540" s="180" t="e">
        <f>YEAR([1]!Tableau13[[#This Row],[Date début]])</f>
        <v>#REF!</v>
      </c>
    </row>
    <row r="541" spans="1:18" ht="15.75" customHeight="1">
      <c r="A541" s="35">
        <v>44285</v>
      </c>
      <c r="B541" s="36">
        <v>439</v>
      </c>
      <c r="C541" s="37" t="str">
        <f>IF(ISNA(VLOOKUP(Tableau13[[#This Row],[Code]],'Code Véhicule'!$A$4:$C$185,2,0)),"",VLOOKUP(Tableau13[[#This Row],[Code]],'Code Véhicule'!$A$4:$C$185,2,0))</f>
        <v>Semi remorque</v>
      </c>
      <c r="D541" s="38" t="str">
        <f>IF(ISNA(VLOOKUP(Tableau13[[#This Row],[Code]],'Code Véhicule'!$A$4:$C$185,3,0)),"",VLOOKUP(Tableau13[[#This Row],[Code]],'Code Véhicule'!$A$4:$C$185,3,0))</f>
        <v>VOLVO</v>
      </c>
      <c r="E541" s="36" t="str">
        <f>IF(ISNA(VLOOKUP(Tableau13[[#This Row],[Code]],'Code Véhicule'!$A$4:$D$185,4,0))," ",VLOOKUP(Tableau13[[#This Row],[Code]],'Code Véhicule'!$A$4:$D$185,4,0))</f>
        <v xml:space="preserve">17886-A-73 </v>
      </c>
      <c r="F541" s="36">
        <v>24261</v>
      </c>
      <c r="G541" s="38" t="s">
        <v>560</v>
      </c>
      <c r="H541" s="38" t="s">
        <v>604</v>
      </c>
      <c r="I541" s="36" t="s">
        <v>304</v>
      </c>
      <c r="J541" s="61" t="s">
        <v>786</v>
      </c>
      <c r="K541" s="36"/>
      <c r="L541" s="40">
        <v>60</v>
      </c>
      <c r="M541" s="40">
        <v>60</v>
      </c>
      <c r="N541" s="41">
        <v>44285</v>
      </c>
      <c r="O541" s="45"/>
      <c r="P541" s="45"/>
      <c r="Q541" s="176" t="e">
        <f>MONTH([1]!Tableau13[[#This Row],[Date début]])</f>
        <v>#REF!</v>
      </c>
      <c r="R541" s="180" t="e">
        <f>YEAR([1]!Tableau13[[#This Row],[Date début]])</f>
        <v>#REF!</v>
      </c>
    </row>
    <row r="542" spans="1:18" ht="30" customHeight="1">
      <c r="A542" s="35">
        <v>44285</v>
      </c>
      <c r="B542" s="36">
        <v>438</v>
      </c>
      <c r="C542" s="37" t="str">
        <f>IF(ISNA(VLOOKUP(Tableau13[[#This Row],[Code]],'Code Véhicule'!$A$4:$C$185,2,0)),"",VLOOKUP(Tableau13[[#This Row],[Code]],'Code Véhicule'!$A$4:$C$185,2,0))</f>
        <v>Semi remorque</v>
      </c>
      <c r="D542" s="38" t="str">
        <f>IF(ISNA(VLOOKUP(Tableau13[[#This Row],[Code]],'Code Véhicule'!$A$4:$C$185,3,0)),"",VLOOKUP(Tableau13[[#This Row],[Code]],'Code Véhicule'!$A$4:$C$185,3,0))</f>
        <v>VOLVO</v>
      </c>
      <c r="E542" s="36" t="str">
        <f>IF(ISNA(VLOOKUP(Tableau13[[#This Row],[Code]],'Code Véhicule'!$A$4:$D$185,4,0))," ",VLOOKUP(Tableau13[[#This Row],[Code]],'Code Véhicule'!$A$4:$D$185,4,0))</f>
        <v xml:space="preserve">17885-A-73 </v>
      </c>
      <c r="F542" s="36">
        <v>24271</v>
      </c>
      <c r="G542" s="38" t="s">
        <v>560</v>
      </c>
      <c r="H542" s="38" t="s">
        <v>604</v>
      </c>
      <c r="I542" s="36" t="s">
        <v>304</v>
      </c>
      <c r="J542" s="61" t="s">
        <v>340</v>
      </c>
      <c r="K542" s="36" t="s">
        <v>1052</v>
      </c>
      <c r="L542" s="40">
        <v>60</v>
      </c>
      <c r="M542" s="40">
        <v>60</v>
      </c>
      <c r="N542" s="41">
        <v>44285</v>
      </c>
      <c r="O542" s="45"/>
      <c r="P542" s="45"/>
      <c r="Q542" s="176" t="e">
        <f>MONTH([1]!Tableau13[[#This Row],[Date début]])</f>
        <v>#REF!</v>
      </c>
      <c r="R542" s="180" t="e">
        <f>YEAR([1]!Tableau13[[#This Row],[Date début]])</f>
        <v>#REF!</v>
      </c>
    </row>
    <row r="543" spans="1:18" ht="30" customHeight="1">
      <c r="A543" s="35">
        <v>44286</v>
      </c>
      <c r="B543" s="36">
        <v>435</v>
      </c>
      <c r="C543" s="37" t="str">
        <f>IF(ISNA(VLOOKUP(Tableau13[[#This Row],[Code]],'Code Véhicule'!$A$4:$C$185,2,0)),"",VLOOKUP(Tableau13[[#This Row],[Code]],'Code Véhicule'!$A$4:$C$185,2,0))</f>
        <v>Camion</v>
      </c>
      <c r="D543" s="38" t="str">
        <f>IF(ISNA(VLOOKUP(Tableau13[[#This Row],[Code]],'Code Véhicule'!$A$4:$C$185,3,0)),"",VLOOKUP(Tableau13[[#This Row],[Code]],'Code Véhicule'!$A$4:$C$185,3,0))</f>
        <v>Mitsubishi</v>
      </c>
      <c r="E543" s="36" t="str">
        <f>IF(ISNA(VLOOKUP(Tableau13[[#This Row],[Code]],'Code Véhicule'!$A$4:$D$185,4,0))," ",VLOOKUP(Tableau13[[#This Row],[Code]],'Code Véhicule'!$A$4:$D$185,4,0))</f>
        <v xml:space="preserve"> 11469-A-73</v>
      </c>
      <c r="F543" s="36">
        <v>24262</v>
      </c>
      <c r="G543" s="38" t="s">
        <v>523</v>
      </c>
      <c r="H543" s="38" t="s">
        <v>606</v>
      </c>
      <c r="I543" s="36" t="s">
        <v>304</v>
      </c>
      <c r="J543" s="61" t="s">
        <v>1043</v>
      </c>
      <c r="K543" s="36">
        <v>160053</v>
      </c>
      <c r="L543" s="40">
        <v>120</v>
      </c>
      <c r="M543" s="40">
        <v>120</v>
      </c>
      <c r="N543" s="41">
        <v>44285</v>
      </c>
      <c r="O543" s="45"/>
      <c r="P543" s="45"/>
      <c r="Q543" s="176" t="e">
        <f>MONTH([1]!Tableau13[[#This Row],[Date début]])</f>
        <v>#REF!</v>
      </c>
      <c r="R543" s="180" t="e">
        <f>YEAR([1]!Tableau13[[#This Row],[Date début]])</f>
        <v>#REF!</v>
      </c>
    </row>
    <row r="544" spans="1:18" ht="15.75" customHeight="1">
      <c r="A544" s="35">
        <v>44286</v>
      </c>
      <c r="B544" s="36">
        <v>434</v>
      </c>
      <c r="C544" s="37" t="str">
        <f>IF(ISNA(VLOOKUP(Tableau13[[#This Row],[Code]],'Code Véhicule'!$A$4:$C$185,2,0)),"",VLOOKUP(Tableau13[[#This Row],[Code]],'Code Véhicule'!$A$4:$C$185,2,0))</f>
        <v>Chariot elevateur</v>
      </c>
      <c r="D544" s="38" t="str">
        <f>IF(ISNA(VLOOKUP(Tableau13[[#This Row],[Code]],'Code Véhicule'!$A$4:$C$185,3,0)),"",VLOOKUP(Tableau13[[#This Row],[Code]],'Code Véhicule'!$A$4:$C$185,3,0))</f>
        <v>Linde H30D</v>
      </c>
      <c r="E544" s="36" t="str">
        <f>IF(ISNA(VLOOKUP(Tableau13[[#This Row],[Code]],'Code Véhicule'!$A$4:$D$185,4,0))," ",VLOOKUP(Tableau13[[#This Row],[Code]],'Code Véhicule'!$A$4:$D$185,4,0))</f>
        <v>-</v>
      </c>
      <c r="F544" s="36">
        <v>24269</v>
      </c>
      <c r="G544" s="38" t="s">
        <v>560</v>
      </c>
      <c r="H544" s="38" t="s">
        <v>604</v>
      </c>
      <c r="I544" s="36" t="s">
        <v>304</v>
      </c>
      <c r="J544" s="61" t="s">
        <v>756</v>
      </c>
      <c r="K544" s="36">
        <v>160494</v>
      </c>
      <c r="L544" s="40">
        <v>60</v>
      </c>
      <c r="M544" s="40">
        <v>60</v>
      </c>
      <c r="N544" s="41">
        <v>44286</v>
      </c>
      <c r="O544" s="45"/>
      <c r="P544" s="45"/>
      <c r="Q544" s="176" t="e">
        <f>MONTH([1]!Tableau13[[#This Row],[Date début]])</f>
        <v>#REF!</v>
      </c>
      <c r="R544" s="180" t="e">
        <f>YEAR([1]!Tableau13[[#This Row],[Date début]])</f>
        <v>#REF!</v>
      </c>
    </row>
    <row r="545" spans="1:18" ht="15.75" customHeight="1">
      <c r="A545" s="35">
        <v>44286</v>
      </c>
      <c r="B545" s="36">
        <v>406</v>
      </c>
      <c r="C545" s="37" t="str">
        <f>IF(ISNA(VLOOKUP(Tableau13[[#This Row],[Code]],'Code Véhicule'!$A$4:$C$185,2,0)),"",VLOOKUP(Tableau13[[#This Row],[Code]],'Code Véhicule'!$A$4:$C$185,2,0))</f>
        <v>Semi remorque</v>
      </c>
      <c r="D545" s="38" t="str">
        <f>IF(ISNA(VLOOKUP(Tableau13[[#This Row],[Code]],'Code Véhicule'!$A$4:$C$185,3,0)),"",VLOOKUP(Tableau13[[#This Row],[Code]],'Code Véhicule'!$A$4:$C$185,3,0))</f>
        <v>VOLVO</v>
      </c>
      <c r="E545" s="36" t="str">
        <f>IF(ISNA(VLOOKUP(Tableau13[[#This Row],[Code]],'Code Véhicule'!$A$4:$D$185,4,0))," ",VLOOKUP(Tableau13[[#This Row],[Code]],'Code Véhicule'!$A$4:$D$185,4,0))</f>
        <v>70352-A-6</v>
      </c>
      <c r="F545" s="36">
        <v>24270</v>
      </c>
      <c r="G545" s="38" t="s">
        <v>393</v>
      </c>
      <c r="H545" s="38" t="s">
        <v>613</v>
      </c>
      <c r="I545" s="36" t="s">
        <v>304</v>
      </c>
      <c r="J545" s="61" t="s">
        <v>909</v>
      </c>
      <c r="K545" s="36">
        <v>160493</v>
      </c>
      <c r="L545" s="40">
        <v>60</v>
      </c>
      <c r="M545" s="40">
        <v>60</v>
      </c>
      <c r="N545" s="41">
        <v>44286</v>
      </c>
      <c r="O545" s="45"/>
      <c r="P545" s="45"/>
      <c r="Q545" s="176" t="e">
        <f>MONTH([1]!Tableau13[[#This Row],[Date début]])</f>
        <v>#REF!</v>
      </c>
      <c r="R545" s="180" t="e">
        <f>YEAR([1]!Tableau13[[#This Row],[Date début]])</f>
        <v>#REF!</v>
      </c>
    </row>
    <row r="546" spans="1:18" ht="15.75" customHeight="1">
      <c r="A546" s="35">
        <v>44287</v>
      </c>
      <c r="B546" s="36">
        <v>480</v>
      </c>
      <c r="C546" s="37" t="str">
        <f>IF(ISNA(VLOOKUP(Tableau13[[#This Row],[Code]],'Code Véhicule'!$A$4:$C$185,2,0)),"",VLOOKUP(Tableau13[[#This Row],[Code]],'Code Véhicule'!$A$4:$C$185,2,0))</f>
        <v>Camion</v>
      </c>
      <c r="D546" s="38" t="str">
        <f>IF(ISNA(VLOOKUP(Tableau13[[#This Row],[Code]],'Code Véhicule'!$A$4:$C$185,3,0)),"",VLOOKUP(Tableau13[[#This Row],[Code]],'Code Véhicule'!$A$4:$C$185,3,0))</f>
        <v>VOLVO</v>
      </c>
      <c r="E546" s="36" t="str">
        <f>IF(ISNA(VLOOKUP(Tableau13[[#This Row],[Code]],'Code Véhicule'!$A$4:$D$185,4,0))," ",VLOOKUP(Tableau13[[#This Row],[Code]],'Code Véhicule'!$A$4:$D$185,4,0))</f>
        <v>22299-A-73</v>
      </c>
      <c r="F546" s="36">
        <v>24263</v>
      </c>
      <c r="G546" s="38" t="s">
        <v>353</v>
      </c>
      <c r="H546" s="38" t="s">
        <v>837</v>
      </c>
      <c r="I546" s="36" t="s">
        <v>304</v>
      </c>
      <c r="J546" s="61" t="s">
        <v>550</v>
      </c>
      <c r="K546" s="36">
        <v>160</v>
      </c>
      <c r="L546" s="40">
        <v>60</v>
      </c>
      <c r="M546" s="40">
        <v>60</v>
      </c>
      <c r="N546" s="41">
        <v>44287</v>
      </c>
      <c r="O546" s="45"/>
      <c r="P546" s="45"/>
      <c r="Q546" s="176" t="e">
        <f>MONTH([1]!Tableau13[[#This Row],[Date début]])</f>
        <v>#REF!</v>
      </c>
      <c r="R546" s="180" t="e">
        <f>YEAR([1]!Tableau13[[#This Row],[Date début]])</f>
        <v>#REF!</v>
      </c>
    </row>
    <row r="547" spans="1:18" ht="30" customHeight="1">
      <c r="A547" s="35">
        <v>44287</v>
      </c>
      <c r="B547" s="36">
        <v>409</v>
      </c>
      <c r="C547" s="37" t="str">
        <f>IF(ISNA(VLOOKUP(Tableau13[[#This Row],[Code]],'Code Véhicule'!$A$4:$C$185,2,0)),"",VLOOKUP(Tableau13[[#This Row],[Code]],'Code Véhicule'!$A$4:$C$185,2,0))</f>
        <v>Camion</v>
      </c>
      <c r="D547" s="38" t="str">
        <f>IF(ISNA(VLOOKUP(Tableau13[[#This Row],[Code]],'Code Véhicule'!$A$4:$C$185,3,0)),"",VLOOKUP(Tableau13[[#This Row],[Code]],'Code Véhicule'!$A$4:$C$185,3,0))</f>
        <v>Mitsubishi</v>
      </c>
      <c r="E547" s="36" t="str">
        <f>IF(ISNA(VLOOKUP(Tableau13[[#This Row],[Code]],'Code Véhicule'!$A$4:$D$185,4,0))," ",VLOOKUP(Tableau13[[#This Row],[Code]],'Code Véhicule'!$A$4:$D$185,4,0))</f>
        <v xml:space="preserve">4969-A-73 </v>
      </c>
      <c r="F547" s="36">
        <v>24264</v>
      </c>
      <c r="G547" s="38" t="s">
        <v>560</v>
      </c>
      <c r="H547" s="38" t="s">
        <v>604</v>
      </c>
      <c r="I547" s="36" t="s">
        <v>304</v>
      </c>
      <c r="J547" s="61" t="s">
        <v>1044</v>
      </c>
      <c r="K547" s="36">
        <v>160</v>
      </c>
      <c r="L547" s="40">
        <v>120</v>
      </c>
      <c r="M547" s="40">
        <v>120</v>
      </c>
      <c r="N547" s="41">
        <v>44287</v>
      </c>
      <c r="O547" s="45"/>
      <c r="P547" s="45"/>
      <c r="Q547" s="176" t="e">
        <f>MONTH([1]!Tableau13[[#This Row],[Date début]])</f>
        <v>#REF!</v>
      </c>
      <c r="R547" s="180" t="e">
        <f>YEAR([1]!Tableau13[[#This Row],[Date début]])</f>
        <v>#REF!</v>
      </c>
    </row>
    <row r="548" spans="1:18" ht="75" customHeight="1">
      <c r="A548" s="35">
        <v>44288</v>
      </c>
      <c r="B548" s="36">
        <v>405</v>
      </c>
      <c r="C548" s="37" t="str">
        <f>IF(ISNA(VLOOKUP(Tableau13[[#This Row],[Code]],'Code Véhicule'!$A$4:$C$185,2,0)),"",VLOOKUP(Tableau13[[#This Row],[Code]],'Code Véhicule'!$A$4:$C$185,2,0))</f>
        <v>Camion</v>
      </c>
      <c r="D548" s="38" t="str">
        <f>IF(ISNA(VLOOKUP(Tableau13[[#This Row],[Code]],'Code Véhicule'!$A$4:$C$185,3,0)),"",VLOOKUP(Tableau13[[#This Row],[Code]],'Code Véhicule'!$A$4:$C$185,3,0))</f>
        <v>ISUZU</v>
      </c>
      <c r="E548" s="36" t="str">
        <f>IF(ISNA(VLOOKUP(Tableau13[[#This Row],[Code]],'Code Véhicule'!$A$4:$D$185,4,0))," ",VLOOKUP(Tableau13[[#This Row],[Code]],'Code Véhicule'!$A$4:$D$185,4,0))</f>
        <v xml:space="preserve"> 22128-W-6</v>
      </c>
      <c r="F548" s="36">
        <v>24265</v>
      </c>
      <c r="G548" s="38" t="s">
        <v>313</v>
      </c>
      <c r="H548" s="38" t="s">
        <v>846</v>
      </c>
      <c r="I548" s="36" t="s">
        <v>304</v>
      </c>
      <c r="J548" s="61" t="s">
        <v>1045</v>
      </c>
      <c r="K548" s="36"/>
      <c r="L548" s="40"/>
      <c r="M548" s="40" t="str">
        <f>IF(ISBLANK(Tableau13[[#This Row],[N BS]]),"",(Tableau13[[#This Row],[N BS]]-Tableau13[[#This Row],[Date début]]))</f>
        <v/>
      </c>
      <c r="N548" s="36"/>
      <c r="O548" s="45"/>
      <c r="P548" s="45"/>
      <c r="Q548" s="176" t="e">
        <f>MONTH([1]!Tableau13[[#This Row],[Date début]])</f>
        <v>#REF!</v>
      </c>
      <c r="R548" s="180" t="e">
        <f>YEAR([1]!Tableau13[[#This Row],[Date début]])</f>
        <v>#REF!</v>
      </c>
    </row>
    <row r="549" spans="1:18" ht="15.75" customHeight="1">
      <c r="A549" s="35">
        <v>44288</v>
      </c>
      <c r="B549" s="36">
        <v>407</v>
      </c>
      <c r="C549" s="37" t="e">
        <f>IF(ISNA(VLOOKUP([2]!Tableau13[[#This Row],[Code]],'[2]cod mchn'!$A$4:$C$181,2,0)),"",VLOOKUP([2]!Tableau13[[#This Row],[Code]],'[2]cod mchn'!$A$4:$C$181,2,0))</f>
        <v>#REF!</v>
      </c>
      <c r="D549" s="38" t="e">
        <f>IF(ISNA(VLOOKUP([2]!Tableau13[[#This Row],[Code]],'[2]cod mchn'!$A$4:$C$181,3,0)),"",VLOOKUP([2]!Tableau13[[#This Row],[Code]],'[2]cod mchn'!$A$4:$C$181,3,0))</f>
        <v>#REF!</v>
      </c>
      <c r="E549" s="36" t="e">
        <f>IF(ISNA(VLOOKUP([2]!Tableau13[[#This Row],[Code]],'[2]cod mchn'!$A$4:$D$181,4,0))," ",VLOOKUP([2]!Tableau13[[#This Row],[Code]],'[2]cod mchn'!$A$4:$D$181,4,0))</f>
        <v>#REF!</v>
      </c>
      <c r="F549" s="36">
        <v>24275</v>
      </c>
      <c r="G549" s="38" t="s">
        <v>455</v>
      </c>
      <c r="H549" s="38" t="s">
        <v>1064</v>
      </c>
      <c r="I549" s="36" t="s">
        <v>304</v>
      </c>
      <c r="J549" s="61" t="s">
        <v>1065</v>
      </c>
      <c r="K549" s="36">
        <v>161</v>
      </c>
      <c r="L549" s="40">
        <v>570</v>
      </c>
      <c r="M549" s="40">
        <v>570</v>
      </c>
      <c r="N549" s="41">
        <v>44288</v>
      </c>
      <c r="O549" s="45"/>
      <c r="P549" s="45"/>
      <c r="Q549" s="176" t="e">
        <f>MONTH([1]!Tableau13[[#This Row],[Date début]])</f>
        <v>#REF!</v>
      </c>
      <c r="R549" s="180" t="e">
        <f>YEAR([1]!Tableau13[[#This Row],[Date début]])</f>
        <v>#REF!</v>
      </c>
    </row>
    <row r="550" spans="1:18" ht="45" customHeight="1">
      <c r="A550" s="35">
        <v>44289</v>
      </c>
      <c r="B550" s="36">
        <v>431</v>
      </c>
      <c r="C550" s="37" t="e">
        <f>IF(ISNA(VLOOKUP([2]!Tableau13[[#This Row],[Code]],'[2]cod mchn'!$A$4:$C$181,2,0)),"",VLOOKUP([2]!Tableau13[[#This Row],[Code]],'[2]cod mchn'!$A$4:$C$181,2,0))</f>
        <v>#REF!</v>
      </c>
      <c r="D550" s="38" t="e">
        <f>IF(ISNA(VLOOKUP([2]!Tableau13[[#This Row],[Code]],'[2]cod mchn'!$A$4:$C$181,3,0)),"",VLOOKUP([2]!Tableau13[[#This Row],[Code]],'[2]cod mchn'!$A$4:$C$181,3,0))</f>
        <v>#REF!</v>
      </c>
      <c r="E550" s="36" t="e">
        <f>IF(ISNA(VLOOKUP([2]!Tableau13[[#This Row],[Code]],'[2]cod mchn'!$A$4:$D$181,4,0))," ",VLOOKUP([2]!Tableau13[[#This Row],[Code]],'[2]cod mchn'!$A$4:$D$181,4,0))</f>
        <v>#REF!</v>
      </c>
      <c r="F550" s="36">
        <v>24273</v>
      </c>
      <c r="G550" s="38" t="s">
        <v>393</v>
      </c>
      <c r="H550" s="38" t="s">
        <v>608</v>
      </c>
      <c r="I550" s="36" t="s">
        <v>302</v>
      </c>
      <c r="J550" s="61" t="s">
        <v>1116</v>
      </c>
      <c r="K550" s="36">
        <v>161059</v>
      </c>
      <c r="L550" s="40">
        <v>120</v>
      </c>
      <c r="M550" s="40">
        <v>120</v>
      </c>
      <c r="N550" s="41">
        <v>44289</v>
      </c>
      <c r="O550" s="45"/>
      <c r="P550" s="45"/>
      <c r="Q550" s="176" t="e">
        <f>MONTH([1]!Tableau13[[#This Row],[Date début]])</f>
        <v>#REF!</v>
      </c>
      <c r="R550" s="180" t="e">
        <f>YEAR([1]!Tableau13[[#This Row],[Date début]])</f>
        <v>#REF!</v>
      </c>
    </row>
    <row r="551" spans="1:18" ht="30">
      <c r="A551" s="35">
        <v>44289</v>
      </c>
      <c r="B551" s="36">
        <v>471</v>
      </c>
      <c r="C551" s="37" t="e">
        <f>IF(ISNA(VLOOKUP([2]!Tableau13[[#This Row],[Code]],'[2]cod mchn'!$A$4:$C$181,2,0)),"",VLOOKUP([2]!Tableau13[[#This Row],[Code]],'[2]cod mchn'!$A$4:$C$181,2,0))</f>
        <v>#REF!</v>
      </c>
      <c r="D551" s="38" t="e">
        <f>IF(ISNA(VLOOKUP([2]!Tableau13[[#This Row],[Code]],'[2]cod mchn'!$A$4:$C$181,3,0)),"",VLOOKUP([2]!Tableau13[[#This Row],[Code]],'[2]cod mchn'!$A$4:$C$181,3,0))</f>
        <v>#REF!</v>
      </c>
      <c r="E551" s="36" t="e">
        <f>IF(ISNA(VLOOKUP([2]!Tableau13[[#This Row],[Code]],'[2]cod mchn'!$A$4:$D$181,4,0))," ",VLOOKUP([2]!Tableau13[[#This Row],[Code]],'[2]cod mchn'!$A$4:$D$181,4,0))</f>
        <v>#REF!</v>
      </c>
      <c r="F551" s="36">
        <v>24281</v>
      </c>
      <c r="G551" s="38" t="s">
        <v>610</v>
      </c>
      <c r="H551" s="38" t="s">
        <v>1074</v>
      </c>
      <c r="I551" s="36" t="s">
        <v>304</v>
      </c>
      <c r="J551" s="39" t="s">
        <v>740</v>
      </c>
      <c r="K551" s="36">
        <v>161065</v>
      </c>
      <c r="L551" s="40">
        <v>30</v>
      </c>
      <c r="M551" s="40">
        <v>30</v>
      </c>
      <c r="N551" s="41">
        <v>44289</v>
      </c>
      <c r="O551" s="45"/>
      <c r="P551" s="45"/>
      <c r="Q551" s="176" t="e">
        <f>MONTH([1]!Tableau13[[#This Row],[Date début]])</f>
        <v>#REF!</v>
      </c>
      <c r="R551" s="180" t="e">
        <f>YEAR([1]!Tableau13[[#This Row],[Date début]])</f>
        <v>#REF!</v>
      </c>
    </row>
    <row r="552" spans="1:18" ht="15.75" customHeight="1">
      <c r="A552" s="35">
        <v>44290</v>
      </c>
      <c r="B552" s="36">
        <v>434</v>
      </c>
      <c r="C552" s="37" t="str">
        <f>IF(ISNA(VLOOKUP(Tableau13[[#This Row],[Code]],'Code Véhicule'!$A$4:$C$185,2,0)),"",VLOOKUP(Tableau13[[#This Row],[Code]],'Code Véhicule'!$A$4:$C$185,2,0))</f>
        <v>Chariot elevateur</v>
      </c>
      <c r="D552" s="38" t="str">
        <f>IF(ISNA(VLOOKUP(Tableau13[[#This Row],[Code]],'Code Véhicule'!$A$4:$C$185,3,0)),"",VLOOKUP(Tableau13[[#This Row],[Code]],'Code Véhicule'!$A$4:$C$185,3,0))</f>
        <v>Linde H30D</v>
      </c>
      <c r="E552" s="36" t="str">
        <f>IF(ISNA(VLOOKUP(Tableau13[[#This Row],[Code]],'Code Véhicule'!$A$4:$D$185,4,0))," ",VLOOKUP(Tableau13[[#This Row],[Code]],'Code Véhicule'!$A$4:$D$185,4,0))</f>
        <v>-</v>
      </c>
      <c r="F552" s="36">
        <v>24272</v>
      </c>
      <c r="G552" s="38" t="s">
        <v>508</v>
      </c>
      <c r="H552" s="38" t="s">
        <v>1053</v>
      </c>
      <c r="I552" s="36" t="s">
        <v>304</v>
      </c>
      <c r="J552" s="61" t="s">
        <v>1054</v>
      </c>
      <c r="K552" s="36">
        <v>160</v>
      </c>
      <c r="L552" s="40">
        <v>570</v>
      </c>
      <c r="M552" s="40">
        <v>570</v>
      </c>
      <c r="N552" s="41">
        <v>44290</v>
      </c>
      <c r="O552" s="45"/>
      <c r="P552" s="45"/>
      <c r="Q552" s="176" t="e">
        <f>MONTH([1]!Tableau13[[#This Row],[Date début]])</f>
        <v>#REF!</v>
      </c>
      <c r="R552" s="180" t="e">
        <f>YEAR([1]!Tableau13[[#This Row],[Date début]])</f>
        <v>#REF!</v>
      </c>
    </row>
    <row r="553" spans="1:18" ht="30" customHeight="1">
      <c r="A553" s="35">
        <v>44290</v>
      </c>
      <c r="B553" s="36">
        <v>428</v>
      </c>
      <c r="C553" s="37" t="e">
        <f>IF(ISNA(VLOOKUP([2]!Tableau13[[#This Row],[Code]],'[2]cod mchn'!$A$4:$C$181,2,0)),"",VLOOKUP([2]!Tableau13[[#This Row],[Code]],'[2]cod mchn'!$A$4:$C$181,2,0))</f>
        <v>#REF!</v>
      </c>
      <c r="D553" s="38" t="e">
        <f>IF(ISNA(VLOOKUP([2]!Tableau13[[#This Row],[Code]],'[2]cod mchn'!$A$4:$C$181,3,0)),"",VLOOKUP([2]!Tableau13[[#This Row],[Code]],'[2]cod mchn'!$A$4:$C$181,3,0))</f>
        <v>#REF!</v>
      </c>
      <c r="E553" s="36" t="e">
        <f>IF(ISNA(VLOOKUP([2]!Tableau13[[#This Row],[Code]],'[2]cod mchn'!$A$4:$D$181,4,0))," ",VLOOKUP([2]!Tableau13[[#This Row],[Code]],'[2]cod mchn'!$A$4:$D$181,4,0))</f>
        <v>#REF!</v>
      </c>
      <c r="F553" s="36">
        <v>24289</v>
      </c>
      <c r="G553" s="38" t="s">
        <v>327</v>
      </c>
      <c r="H553" s="38" t="s">
        <v>1084</v>
      </c>
      <c r="I553" s="36" t="s">
        <v>304</v>
      </c>
      <c r="J553" s="39" t="s">
        <v>1085</v>
      </c>
      <c r="K553" s="36">
        <v>161071</v>
      </c>
      <c r="L553" s="40">
        <v>1140</v>
      </c>
      <c r="M553" s="40">
        <v>1140</v>
      </c>
      <c r="N553" s="41">
        <v>44290</v>
      </c>
      <c r="O553" s="45"/>
      <c r="P553" s="45"/>
      <c r="Q553" s="176" t="e">
        <f>MONTH([1]!Tableau13[[#This Row],[Date début]])</f>
        <v>#REF!</v>
      </c>
      <c r="R553" s="180" t="e">
        <f>YEAR([1]!Tableau13[[#This Row],[Date début]])</f>
        <v>#REF!</v>
      </c>
    </row>
    <row r="554" spans="1:18" ht="30" customHeight="1">
      <c r="A554" s="35">
        <v>44291</v>
      </c>
      <c r="B554" s="36">
        <v>413</v>
      </c>
      <c r="C554" s="37" t="e">
        <f>IF(ISNA(VLOOKUP([2]!Tableau13[[#This Row],[Code]],'[2]cod mchn'!$A$4:$C$181,2,0)),"",VLOOKUP([2]!Tableau13[[#This Row],[Code]],'[2]cod mchn'!$A$4:$C$181,2,0))</f>
        <v>#REF!</v>
      </c>
      <c r="D554" s="38" t="e">
        <f>IF(ISNA(VLOOKUP([2]!Tableau13[[#This Row],[Code]],'[2]cod mchn'!$A$4:$C$181,3,0)),"",VLOOKUP([2]!Tableau13[[#This Row],[Code]],'[2]cod mchn'!$A$4:$C$181,3,0))</f>
        <v>#REF!</v>
      </c>
      <c r="E554" s="36" t="e">
        <f>IF(ISNA(VLOOKUP([2]!Tableau13[[#This Row],[Code]],'[2]cod mchn'!$A$4:$D$181,4,0))," ",VLOOKUP([2]!Tableau13[[#This Row],[Code]],'[2]cod mchn'!$A$4:$D$181,4,0))</f>
        <v>#REF!</v>
      </c>
      <c r="F554" s="36">
        <v>24285</v>
      </c>
      <c r="G554" s="38" t="s">
        <v>511</v>
      </c>
      <c r="H554" s="38" t="s">
        <v>672</v>
      </c>
      <c r="I554" s="36" t="s">
        <v>304</v>
      </c>
      <c r="J554" s="39" t="s">
        <v>1078</v>
      </c>
      <c r="K554" s="36" t="s">
        <v>1079</v>
      </c>
      <c r="L554" s="40">
        <v>60</v>
      </c>
      <c r="M554" s="40">
        <v>60</v>
      </c>
      <c r="N554" s="41">
        <v>44291</v>
      </c>
      <c r="O554" s="45"/>
      <c r="P554" s="45"/>
      <c r="Q554" s="176" t="e">
        <f>MONTH([1]!Tableau13[[#This Row],[Date début]])</f>
        <v>#REF!</v>
      </c>
      <c r="R554" s="180" t="e">
        <f>YEAR([1]!Tableau13[[#This Row],[Date début]])</f>
        <v>#REF!</v>
      </c>
    </row>
    <row r="555" spans="1:18" ht="15.75" customHeight="1">
      <c r="A555" s="35">
        <v>44292</v>
      </c>
      <c r="B555" s="36"/>
      <c r="C555" s="37" t="e">
        <f>IF(ISNA(VLOOKUP([2]!Tableau13[[#This Row],[Code]],'[2]cod mchn'!$A$4:$C$181,2,0)),"",VLOOKUP([2]!Tableau13[[#This Row],[Code]],'[2]cod mchn'!$A$4:$C$181,2,0))</f>
        <v>#REF!</v>
      </c>
      <c r="D555" s="38" t="e">
        <f>IF(ISNA(VLOOKUP([2]!Tableau13[[#This Row],[Code]],'[2]cod mchn'!$A$4:$C$181,3,0)),"",VLOOKUP([2]!Tableau13[[#This Row],[Code]],'[2]cod mchn'!$A$4:$C$181,3,0))</f>
        <v>#REF!</v>
      </c>
      <c r="E555" s="36" t="e">
        <f>IF(ISNA(VLOOKUP([2]!Tableau13[[#This Row],[Code]],'[2]cod mchn'!$A$4:$D$181,4,0))," ",VLOOKUP([2]!Tableau13[[#This Row],[Code]],'[2]cod mchn'!$A$4:$D$181,4,0))</f>
        <v>#REF!</v>
      </c>
      <c r="F555" s="36">
        <v>24278</v>
      </c>
      <c r="G555" s="38" t="s">
        <v>393</v>
      </c>
      <c r="H555" s="38" t="s">
        <v>608</v>
      </c>
      <c r="I555" s="36" t="s">
        <v>302</v>
      </c>
      <c r="J555" s="61" t="s">
        <v>1070</v>
      </c>
      <c r="K555" s="36">
        <v>161075</v>
      </c>
      <c r="L555" s="40">
        <v>60</v>
      </c>
      <c r="M555" s="40">
        <v>60</v>
      </c>
      <c r="N555" s="41">
        <v>44292</v>
      </c>
      <c r="O555" s="45"/>
      <c r="P555" s="45"/>
      <c r="Q555" s="176" t="e">
        <f>MONTH([1]!Tableau13[[#This Row],[Date début]])</f>
        <v>#REF!</v>
      </c>
      <c r="R555" s="180" t="e">
        <f>YEAR([1]!Tableau13[[#This Row],[Date début]])</f>
        <v>#REF!</v>
      </c>
    </row>
    <row r="556" spans="1:18" ht="15.75" customHeight="1">
      <c r="A556" s="35">
        <v>44292</v>
      </c>
      <c r="B556" s="36">
        <v>410</v>
      </c>
      <c r="C556" s="37" t="e">
        <f>IF(ISNA(VLOOKUP([2]!Tableau13[[#This Row],[Code]],'[2]cod mchn'!$A$4:$C$181,2,0)),"",VLOOKUP([2]!Tableau13[[#This Row],[Code]],'[2]cod mchn'!$A$4:$C$181,2,0))</f>
        <v>#REF!</v>
      </c>
      <c r="D556" s="38" t="e">
        <f>IF(ISNA(VLOOKUP([2]!Tableau13[[#This Row],[Code]],'[2]cod mchn'!$A$4:$C$181,3,0)),"",VLOOKUP([2]!Tableau13[[#This Row],[Code]],'[2]cod mchn'!$A$4:$C$181,3,0))</f>
        <v>#REF!</v>
      </c>
      <c r="E556" s="36" t="e">
        <f>IF(ISNA(VLOOKUP([2]!Tableau13[[#This Row],[Code]],'[2]cod mchn'!$A$4:$D$181,4,0))," ",VLOOKUP([2]!Tableau13[[#This Row],[Code]],'[2]cod mchn'!$A$4:$D$181,4,0))</f>
        <v>#REF!</v>
      </c>
      <c r="F556" s="36">
        <v>24286</v>
      </c>
      <c r="G556" s="38" t="s">
        <v>560</v>
      </c>
      <c r="H556" s="38" t="s">
        <v>604</v>
      </c>
      <c r="I556" s="36" t="s">
        <v>304</v>
      </c>
      <c r="J556" s="39" t="s">
        <v>1080</v>
      </c>
      <c r="K556" s="36">
        <v>161076</v>
      </c>
      <c r="L556" s="40">
        <v>120</v>
      </c>
      <c r="M556" s="40">
        <v>120</v>
      </c>
      <c r="N556" s="41">
        <v>44292</v>
      </c>
      <c r="O556" s="45"/>
      <c r="P556" s="45"/>
      <c r="Q556" s="176" t="e">
        <f>MONTH([1]!Tableau13[[#This Row],[Date début]])</f>
        <v>#REF!</v>
      </c>
      <c r="R556" s="180" t="e">
        <f>YEAR([1]!Tableau13[[#This Row],[Date début]])</f>
        <v>#REF!</v>
      </c>
    </row>
    <row r="557" spans="1:18" ht="30" customHeight="1">
      <c r="A557" s="35">
        <v>44292</v>
      </c>
      <c r="B557" s="36">
        <v>431</v>
      </c>
      <c r="C557" s="37" t="str">
        <f>IF(ISNA(VLOOKUP(Tableau13[[#This Row],[Code]],'Code Véhicule'!$A$4:$C$185,2,0)),"",VLOOKUP(Tableau13[[#This Row],[Code]],'Code Véhicule'!$A$4:$C$185,2,0))</f>
        <v>Chariot elevateur</v>
      </c>
      <c r="D557" s="38" t="str">
        <f>IF(ISNA(VLOOKUP(Tableau13[[#This Row],[Code]],'Code Véhicule'!$A$4:$C$185,3,0)),"",VLOOKUP(Tableau13[[#This Row],[Code]],'Code Véhicule'!$A$4:$C$185,3,0))</f>
        <v>Manitou M26-2</v>
      </c>
      <c r="E557" s="36" t="str">
        <f>IF(ISNA(VLOOKUP(Tableau13[[#This Row],[Code]],'Code Véhicule'!$A$4:$D$185,4,0))," ",VLOOKUP(Tableau13[[#This Row],[Code]],'Code Véhicule'!$A$4:$D$185,4,0))</f>
        <v>-</v>
      </c>
      <c r="F557" s="36">
        <v>24297</v>
      </c>
      <c r="G557" s="38" t="s">
        <v>1075</v>
      </c>
      <c r="H557" s="38" t="s">
        <v>1097</v>
      </c>
      <c r="I557" s="36" t="s">
        <v>304</v>
      </c>
      <c r="J557" s="39" t="s">
        <v>1098</v>
      </c>
      <c r="K557" s="36">
        <v>161358</v>
      </c>
      <c r="L557" s="40">
        <v>1140</v>
      </c>
      <c r="M557" s="40">
        <f>570*8</f>
        <v>4560</v>
      </c>
      <c r="N557" s="41">
        <v>44300</v>
      </c>
      <c r="O557" s="45"/>
      <c r="P557" s="45"/>
      <c r="Q557" s="176" t="e">
        <f>MONTH([1]!Tableau13[[#This Row],[Date début]])</f>
        <v>#REF!</v>
      </c>
      <c r="R557" s="180" t="e">
        <f>YEAR([1]!Tableau13[[#This Row],[Date début]])</f>
        <v>#REF!</v>
      </c>
    </row>
    <row r="558" spans="1:18" ht="45" customHeight="1">
      <c r="A558" s="35">
        <v>44293</v>
      </c>
      <c r="B558" s="36"/>
      <c r="C558" s="37" t="s">
        <v>472</v>
      </c>
      <c r="D558" s="38" t="e">
        <f>IF(ISNA(VLOOKUP([2]!Tableau13[[#This Row],[Code]],'[2]cod mchn'!$A$4:$C$181,3,0)),"",VLOOKUP([2]!Tableau13[[#This Row],[Code]],'[2]cod mchn'!$A$4:$C$181,3,0))</f>
        <v>#REF!</v>
      </c>
      <c r="E558" s="36" t="e">
        <f>IF(ISNA(VLOOKUP([2]!Tableau13[[#This Row],[Code]],'[2]cod mchn'!$A$4:$D$181,4,0))," ",VLOOKUP([2]!Tableau13[[#This Row],[Code]],'[2]cod mchn'!$A$4:$D$181,4,0))</f>
        <v>#REF!</v>
      </c>
      <c r="F558" s="36">
        <v>24280</v>
      </c>
      <c r="G558" s="38" t="s">
        <v>610</v>
      </c>
      <c r="H558" s="38" t="s">
        <v>1072</v>
      </c>
      <c r="I558" s="36" t="s">
        <v>304</v>
      </c>
      <c r="J558" s="39" t="s">
        <v>1073</v>
      </c>
      <c r="K558" s="36">
        <v>161082</v>
      </c>
      <c r="L558" s="40">
        <v>570</v>
      </c>
      <c r="M558" s="40">
        <v>570</v>
      </c>
      <c r="N558" s="41">
        <v>44293</v>
      </c>
      <c r="O558" s="45"/>
      <c r="P558" s="45"/>
      <c r="Q558" s="176" t="e">
        <f>MONTH([1]!Tableau13[[#This Row],[Date début]])</f>
        <v>#REF!</v>
      </c>
      <c r="R558" s="180" t="e">
        <f>YEAR([1]!Tableau13[[#This Row],[Date début]])</f>
        <v>#REF!</v>
      </c>
    </row>
    <row r="559" spans="1:18" ht="30" customHeight="1">
      <c r="A559" s="35">
        <v>44293</v>
      </c>
      <c r="B559" s="36">
        <v>431</v>
      </c>
      <c r="C559" s="37" t="e">
        <f>IF(ISNA(VLOOKUP([2]!Tableau13[[#This Row],[Code]],'[2]cod mchn'!$A$4:$C$181,2,0)),"",VLOOKUP([2]!Tableau13[[#This Row],[Code]],'[2]cod mchn'!$A$4:$C$181,2,0))</f>
        <v>#REF!</v>
      </c>
      <c r="D559" s="38" t="e">
        <f>IF(ISNA(VLOOKUP([2]!Tableau13[[#This Row],[Code]],'[2]cod mchn'!$A$4:$C$181,3,0)),"",VLOOKUP([2]!Tableau13[[#This Row],[Code]],'[2]cod mchn'!$A$4:$C$181,3,0))</f>
        <v>#REF!</v>
      </c>
      <c r="E559" s="36" t="e">
        <f>IF(ISNA(VLOOKUP([2]!Tableau13[[#This Row],[Code]],'[2]cod mchn'!$A$4:$D$181,4,0))," ",VLOOKUP([2]!Tableau13[[#This Row],[Code]],'[2]cod mchn'!$A$4:$D$181,4,0))</f>
        <v>#REF!</v>
      </c>
      <c r="F559" s="36">
        <v>24283</v>
      </c>
      <c r="G559" s="38" t="s">
        <v>1075</v>
      </c>
      <c r="H559" s="38" t="s">
        <v>1076</v>
      </c>
      <c r="I559" s="36" t="s">
        <v>304</v>
      </c>
      <c r="J559" s="39" t="s">
        <v>1077</v>
      </c>
      <c r="K559" s="36"/>
      <c r="L559" s="40"/>
      <c r="M559" s="40" t="e">
        <f>IF(ISBLANK([2]!Tableau13[[#This Row],[N BS]]),"",([2]!Tableau13[[#This Row],[N BS]]-[2]!Tableau13[[#This Row],[Date début]]))</f>
        <v>#REF!</v>
      </c>
      <c r="N559" s="36"/>
      <c r="O559" s="45"/>
      <c r="P559" s="45"/>
      <c r="Q559" s="176" t="e">
        <f>MONTH([1]!Tableau13[[#This Row],[Date début]])</f>
        <v>#REF!</v>
      </c>
      <c r="R559" s="180" t="e">
        <f>YEAR([1]!Tableau13[[#This Row],[Date début]])</f>
        <v>#REF!</v>
      </c>
    </row>
    <row r="560" spans="1:18" ht="30" customHeight="1">
      <c r="A560" s="35">
        <v>44293</v>
      </c>
      <c r="B560" s="36">
        <v>433</v>
      </c>
      <c r="C560" s="37" t="e">
        <f>IF(ISNA(VLOOKUP([2]!Tableau13[[#This Row],[Code]],'[2]cod mchn'!$A$4:$C$181,2,0)),"",VLOOKUP([2]!Tableau13[[#This Row],[Code]],'[2]cod mchn'!$A$4:$C$181,2,0))</f>
        <v>#REF!</v>
      </c>
      <c r="D560" s="38" t="e">
        <f>IF(ISNA(VLOOKUP([2]!Tableau13[[#This Row],[Code]],'[2]cod mchn'!$A$4:$C$181,3,0)),"",VLOOKUP([2]!Tableau13[[#This Row],[Code]],'[2]cod mchn'!$A$4:$C$181,3,0))</f>
        <v>#REF!</v>
      </c>
      <c r="E560" s="36" t="e">
        <f>IF(ISNA(VLOOKUP([2]!Tableau13[[#This Row],[Code]],'[2]cod mchn'!$A$4:$D$181,4,0))," ",VLOOKUP([2]!Tableau13[[#This Row],[Code]],'[2]cod mchn'!$A$4:$D$181,4,0))</f>
        <v>#REF!</v>
      </c>
      <c r="F560" s="36">
        <v>24287</v>
      </c>
      <c r="G560" s="38" t="s">
        <v>353</v>
      </c>
      <c r="H560" s="38" t="s">
        <v>729</v>
      </c>
      <c r="I560" s="36" t="s">
        <v>304</v>
      </c>
      <c r="J560" s="39" t="s">
        <v>1081</v>
      </c>
      <c r="K560" s="36">
        <v>161079</v>
      </c>
      <c r="L560" s="40">
        <v>120</v>
      </c>
      <c r="M560" s="40">
        <v>120</v>
      </c>
      <c r="N560" s="41">
        <v>44293</v>
      </c>
      <c r="O560" s="45"/>
      <c r="P560" s="45"/>
      <c r="Q560" s="176" t="e">
        <f>MONTH([1]!Tableau13[[#This Row],[Date début]])</f>
        <v>#REF!</v>
      </c>
      <c r="R560" s="180" t="e">
        <f>YEAR([1]!Tableau13[[#This Row],[Date début]])</f>
        <v>#REF!</v>
      </c>
    </row>
    <row r="561" spans="1:18" ht="30" customHeight="1">
      <c r="A561" s="35">
        <v>44294</v>
      </c>
      <c r="B561" s="36">
        <v>414</v>
      </c>
      <c r="C561" s="37" t="e">
        <f>IF(ISNA(VLOOKUP([2]!Tableau13[[#This Row],[Code]],'[2]cod mchn'!$A$4:$C$181,2,0)),"",VLOOKUP([2]!Tableau13[[#This Row],[Code]],'[2]cod mchn'!$A$4:$C$181,2,0))</f>
        <v>#REF!</v>
      </c>
      <c r="D561" s="38" t="e">
        <f>IF(ISNA(VLOOKUP([2]!Tableau13[[#This Row],[Code]],'[2]cod mchn'!$A$4:$C$181,3,0)),"",VLOOKUP([2]!Tableau13[[#This Row],[Code]],'[2]cod mchn'!$A$4:$C$181,3,0))</f>
        <v>#REF!</v>
      </c>
      <c r="E561" s="36" t="e">
        <f>IF(ISNA(VLOOKUP([2]!Tableau13[[#This Row],[Code]],'[2]cod mchn'!$A$4:$D$181,4,0))," ",VLOOKUP([2]!Tableau13[[#This Row],[Code]],'[2]cod mchn'!$A$4:$D$181,4,0))</f>
        <v>#REF!</v>
      </c>
      <c r="F561" s="36">
        <v>24274</v>
      </c>
      <c r="G561" s="38" t="s">
        <v>1060</v>
      </c>
      <c r="H561" s="38" t="s">
        <v>1061</v>
      </c>
      <c r="I561" s="36" t="s">
        <v>304</v>
      </c>
      <c r="J561" s="61" t="s">
        <v>1062</v>
      </c>
      <c r="K561" s="36" t="s">
        <v>1063</v>
      </c>
      <c r="L561" s="40">
        <v>1140</v>
      </c>
      <c r="M561" s="40">
        <v>1140</v>
      </c>
      <c r="N561" s="41">
        <v>44296</v>
      </c>
      <c r="O561" s="45"/>
      <c r="P561" s="45"/>
      <c r="Q561" s="176" t="e">
        <f>MONTH([1]!Tableau13[[#This Row],[Date début]])</f>
        <v>#REF!</v>
      </c>
      <c r="R561" s="180" t="e">
        <f>YEAR([1]!Tableau13[[#This Row],[Date début]])</f>
        <v>#REF!</v>
      </c>
    </row>
    <row r="562" spans="1:18" ht="60" customHeight="1">
      <c r="A562" s="35">
        <v>44294</v>
      </c>
      <c r="B562" s="36">
        <v>408</v>
      </c>
      <c r="C562" s="37" t="e">
        <f>IF(ISNA(VLOOKUP([2]!Tableau13[[#This Row],[Code]],'[2]cod mchn'!$A$4:$C$181,2,0)),"",VLOOKUP([2]!Tableau13[[#This Row],[Code]],'[2]cod mchn'!$A$4:$C$181,2,0))</f>
        <v>#REF!</v>
      </c>
      <c r="D562" s="38" t="e">
        <f>IF(ISNA(VLOOKUP([2]!Tableau13[[#This Row],[Code]],'[2]cod mchn'!$A$4:$C$181,3,0)),"",VLOOKUP([2]!Tableau13[[#This Row],[Code]],'[2]cod mchn'!$A$4:$C$181,3,0))</f>
        <v>#REF!</v>
      </c>
      <c r="E562" s="36" t="e">
        <f>IF(ISNA(VLOOKUP([2]!Tableau13[[#This Row],[Code]],'[2]cod mchn'!$A$4:$D$181,4,0))," ",VLOOKUP([2]!Tableau13[[#This Row],[Code]],'[2]cod mchn'!$A$4:$D$181,4,0))</f>
        <v>#REF!</v>
      </c>
      <c r="F562" s="36">
        <v>24276</v>
      </c>
      <c r="G562" s="38" t="s">
        <v>537</v>
      </c>
      <c r="H562" s="38" t="s">
        <v>1031</v>
      </c>
      <c r="I562" s="36" t="s">
        <v>304</v>
      </c>
      <c r="J562" s="61" t="s">
        <v>1115</v>
      </c>
      <c r="K562" s="36" t="s">
        <v>1066</v>
      </c>
      <c r="L562" s="40">
        <v>1140</v>
      </c>
      <c r="M562" s="40">
        <v>3420</v>
      </c>
      <c r="N562" s="41">
        <v>44294</v>
      </c>
      <c r="O562" s="45"/>
      <c r="P562" s="45"/>
      <c r="Q562" s="176" t="e">
        <f>MONTH([1]!Tableau13[[#This Row],[Date début]])</f>
        <v>#REF!</v>
      </c>
      <c r="R562" s="180" t="e">
        <f>YEAR([1]!Tableau13[[#This Row],[Date début]])</f>
        <v>#REF!</v>
      </c>
    </row>
    <row r="563" spans="1:18" ht="15.75" customHeight="1">
      <c r="A563" s="35">
        <v>44294</v>
      </c>
      <c r="B563" s="36">
        <v>428</v>
      </c>
      <c r="C563" s="37" t="e">
        <f>IF(ISNA(VLOOKUP([2]!Tableau13[[#This Row],[Code]],'[2]cod mchn'!$A$4:$C$181,2,0)),"",VLOOKUP([2]!Tableau13[[#This Row],[Code]],'[2]cod mchn'!$A$4:$C$181,2,0))</f>
        <v>#REF!</v>
      </c>
      <c r="D563" s="38" t="e">
        <f>IF(ISNA(VLOOKUP([2]!Tableau13[[#This Row],[Code]],'[2]cod mchn'!$A$4:$C$181,3,0)),"",VLOOKUP([2]!Tableau13[[#This Row],[Code]],'[2]cod mchn'!$A$4:$C$181,3,0))</f>
        <v>#REF!</v>
      </c>
      <c r="E563" s="36" t="e">
        <f>IF(ISNA(VLOOKUP([2]!Tableau13[[#This Row],[Code]],'[2]cod mchn'!$A$4:$D$181,4,0))," ",VLOOKUP([2]!Tableau13[[#This Row],[Code]],'[2]cod mchn'!$A$4:$D$181,4,0))</f>
        <v>#REF!</v>
      </c>
      <c r="F563" s="36">
        <v>24279</v>
      </c>
      <c r="G563" s="38" t="s">
        <v>511</v>
      </c>
      <c r="H563" s="38" t="s">
        <v>1071</v>
      </c>
      <c r="I563" s="36" t="s">
        <v>304</v>
      </c>
      <c r="J563" s="39" t="s">
        <v>569</v>
      </c>
      <c r="K563" s="36"/>
      <c r="L563" s="40">
        <v>120</v>
      </c>
      <c r="M563" s="40">
        <v>120</v>
      </c>
      <c r="N563" s="41">
        <v>44294</v>
      </c>
      <c r="O563" s="45"/>
      <c r="P563" s="45"/>
      <c r="Q563" s="176" t="e">
        <f>MONTH([1]!Tableau13[[#This Row],[Date début]])</f>
        <v>#REF!</v>
      </c>
      <c r="R563" s="180" t="e">
        <f>YEAR([1]!Tableau13[[#This Row],[Date début]])</f>
        <v>#REF!</v>
      </c>
    </row>
    <row r="564" spans="1:18" ht="15.75" customHeight="1">
      <c r="A564" s="35">
        <v>44295</v>
      </c>
      <c r="B564" s="36">
        <v>407</v>
      </c>
      <c r="C564" s="37" t="e">
        <f>IF(ISNA(VLOOKUP([2]!Tableau13[[#This Row],[Code]],'[2]cod mchn'!$A$4:$C$181,2,0)),"",VLOOKUP([2]!Tableau13[[#This Row],[Code]],'[2]cod mchn'!$A$4:$C$181,2,0))</f>
        <v>#REF!</v>
      </c>
      <c r="D564" s="38" t="e">
        <f>IF(ISNA(VLOOKUP([2]!Tableau13[[#This Row],[Code]],'[2]cod mchn'!$A$4:$C$181,3,0)),"",VLOOKUP([2]!Tableau13[[#This Row],[Code]],'[2]cod mchn'!$A$4:$C$181,3,0))</f>
        <v>#REF!</v>
      </c>
      <c r="E564" s="36" t="e">
        <f>IF(ISNA(VLOOKUP([2]!Tableau13[[#This Row],[Code]],'[2]cod mchn'!$A$4:$D$181,4,0))," ",VLOOKUP([2]!Tableau13[[#This Row],[Code]],'[2]cod mchn'!$A$4:$D$181,4,0))</f>
        <v>#REF!</v>
      </c>
      <c r="F564" s="36">
        <v>24277</v>
      </c>
      <c r="G564" s="38" t="s">
        <v>1067</v>
      </c>
      <c r="H564" s="38" t="s">
        <v>1068</v>
      </c>
      <c r="I564" s="36" t="s">
        <v>304</v>
      </c>
      <c r="J564" s="61" t="s">
        <v>1069</v>
      </c>
      <c r="K564" s="36"/>
      <c r="L564" s="40">
        <v>120</v>
      </c>
      <c r="M564" s="40">
        <v>120</v>
      </c>
      <c r="N564" s="41">
        <v>44295</v>
      </c>
      <c r="O564" s="45"/>
      <c r="P564" s="45"/>
      <c r="Q564" s="176" t="e">
        <f>MONTH([1]!Tableau13[[#This Row],[Date début]])</f>
        <v>#REF!</v>
      </c>
      <c r="R564" s="180" t="e">
        <f>YEAR([1]!Tableau13[[#This Row],[Date début]])</f>
        <v>#REF!</v>
      </c>
    </row>
    <row r="565" spans="1:18" ht="15.75" customHeight="1">
      <c r="A565" s="35">
        <v>44295</v>
      </c>
      <c r="B565" s="36">
        <v>481</v>
      </c>
      <c r="C565" s="37" t="e">
        <f>IF(ISNA(VLOOKUP([2]!Tableau13[[#This Row],[Code]],'[2]cod mchn'!$A$4:$C$181,2,0)),"",VLOOKUP([2]!Tableau13[[#This Row],[Code]],'[2]cod mchn'!$A$4:$C$181,2,0))</f>
        <v>#REF!</v>
      </c>
      <c r="D565" s="38" t="e">
        <f>IF(ISNA(VLOOKUP([2]!Tableau13[[#This Row],[Code]],'[2]cod mchn'!$A$4:$C$181,3,0)),"",VLOOKUP([2]!Tableau13[[#This Row],[Code]],'[2]cod mchn'!$A$4:$C$181,3,0))</f>
        <v>#REF!</v>
      </c>
      <c r="E565" s="36" t="e">
        <f>IF(ISNA(VLOOKUP([2]!Tableau13[[#This Row],[Code]],'[2]cod mchn'!$A$4:$D$181,4,0))," ",VLOOKUP([2]!Tableau13[[#This Row],[Code]],'[2]cod mchn'!$A$4:$D$181,4,0))</f>
        <v>#REF!</v>
      </c>
      <c r="F565" s="36">
        <v>24288</v>
      </c>
      <c r="G565" s="38" t="s">
        <v>545</v>
      </c>
      <c r="H565" s="38" t="s">
        <v>1082</v>
      </c>
      <c r="I565" s="36" t="s">
        <v>304</v>
      </c>
      <c r="J565" s="39" t="s">
        <v>1083</v>
      </c>
      <c r="K565" s="36">
        <v>161091</v>
      </c>
      <c r="L565" s="40">
        <v>30</v>
      </c>
      <c r="M565" s="40">
        <v>30</v>
      </c>
      <c r="N565" s="41">
        <v>44295</v>
      </c>
      <c r="O565" s="45"/>
      <c r="P565" s="45"/>
      <c r="Q565" s="176" t="e">
        <f>MONTH([1]!Tableau13[[#This Row],[Date début]])</f>
        <v>#REF!</v>
      </c>
      <c r="R565" s="180" t="e">
        <f>YEAR([1]!Tableau13[[#This Row],[Date début]])</f>
        <v>#REF!</v>
      </c>
    </row>
    <row r="566" spans="1:18" ht="105" customHeight="1">
      <c r="A566" s="35">
        <v>44296</v>
      </c>
      <c r="B566" s="36">
        <v>436</v>
      </c>
      <c r="C566" s="37" t="str">
        <f>IF(ISNA(VLOOKUP(Tableau13[[#This Row],[Code]],'Code Véhicule'!$A$4:$C$185,2,0)),"",VLOOKUP(Tableau13[[#This Row],[Code]],'Code Véhicule'!$A$4:$C$185,2,0))</f>
        <v>Camion</v>
      </c>
      <c r="D566" s="38" t="str">
        <f>IF(ISNA(VLOOKUP(Tableau13[[#This Row],[Code]],'Code Véhicule'!$A$4:$C$185,3,0)),"",VLOOKUP(Tableau13[[#This Row],[Code]],'Code Véhicule'!$A$4:$C$185,3,0))</f>
        <v>Mitsubishi</v>
      </c>
      <c r="E566" s="36" t="str">
        <f>IF(ISNA(VLOOKUP(Tableau13[[#This Row],[Code]],'Code Véhicule'!$A$4:$D$185,4,0))," ",VLOOKUP(Tableau13[[#This Row],[Code]],'Code Véhicule'!$A$4:$D$185,4,0))</f>
        <v>11470-A-73</v>
      </c>
      <c r="F566" s="36">
        <v>24284</v>
      </c>
      <c r="G566" s="38" t="s">
        <v>537</v>
      </c>
      <c r="H566" s="38" t="s">
        <v>1017</v>
      </c>
      <c r="I566" s="36" t="s">
        <v>304</v>
      </c>
      <c r="J566" s="39" t="s">
        <v>1114</v>
      </c>
      <c r="K566" s="36"/>
      <c r="L566" s="40"/>
      <c r="M566" s="40" t="e">
        <f>IF(ISBLANK([2]!Tableau13[[#This Row],[N BS]]),"",([2]!Tableau13[[#This Row],[N BS]]-[2]!Tableau13[[#This Row],[Date début]]))</f>
        <v>#REF!</v>
      </c>
      <c r="N566" s="36"/>
      <c r="O566" s="45"/>
      <c r="P566" s="45"/>
      <c r="Q566" s="176" t="e">
        <f>MONTH([1]!Tableau13[[#This Row],[Date début]])</f>
        <v>#REF!</v>
      </c>
      <c r="R566" s="180" t="e">
        <f>YEAR([1]!Tableau13[[#This Row],[Date début]])</f>
        <v>#REF!</v>
      </c>
    </row>
    <row r="567" spans="1:18" ht="60" customHeight="1">
      <c r="A567" s="35">
        <v>44296</v>
      </c>
      <c r="B567" s="36">
        <v>419</v>
      </c>
      <c r="C567" s="37" t="str">
        <f>IF(ISNA(VLOOKUP(Tableau13[[#This Row],[Code]],'Code Véhicule'!$A$4:$C$185,2,0)),"",VLOOKUP(Tableau13[[#This Row],[Code]],'Code Véhicule'!$A$4:$C$185,2,0))</f>
        <v>Voiture de fonction</v>
      </c>
      <c r="D567" s="38" t="str">
        <f>IF(ISNA(VLOOKUP(Tableau13[[#This Row],[Code]],'Code Véhicule'!$A$4:$C$185,3,0)),"",VLOOKUP(Tableau13[[#This Row],[Code]],'Code Véhicule'!$A$4:$C$185,3,0))</f>
        <v>kangoo</v>
      </c>
      <c r="E567" s="36" t="str">
        <f>IF(ISNA(VLOOKUP(Tableau13[[#This Row],[Code]],'Code Véhicule'!$A$4:$D$185,4,0))," ",VLOOKUP(Tableau13[[#This Row],[Code]],'Code Véhicule'!$A$4:$D$185,4,0))</f>
        <v>4812-A-73</v>
      </c>
      <c r="F567" s="36">
        <v>24294</v>
      </c>
      <c r="G567" s="38" t="s">
        <v>393</v>
      </c>
      <c r="H567" s="38" t="s">
        <v>608</v>
      </c>
      <c r="I567" s="36" t="s">
        <v>304</v>
      </c>
      <c r="J567" s="39" t="s">
        <v>1094</v>
      </c>
      <c r="K567" s="36">
        <v>161351</v>
      </c>
      <c r="L567" s="40">
        <v>120</v>
      </c>
      <c r="M567" s="40">
        <v>120</v>
      </c>
      <c r="N567" s="41">
        <v>44296</v>
      </c>
      <c r="O567" s="45"/>
      <c r="P567" s="45"/>
      <c r="Q567" s="176" t="e">
        <f>MONTH([1]!Tableau13[[#This Row],[Date début]])</f>
        <v>#REF!</v>
      </c>
      <c r="R567" s="180" t="e">
        <f>YEAR([1]!Tableau13[[#This Row],[Date début]])</f>
        <v>#REF!</v>
      </c>
    </row>
    <row r="568" spans="1:18" ht="15.75" customHeight="1">
      <c r="A568" s="35">
        <v>44298</v>
      </c>
      <c r="B568" s="36">
        <v>411</v>
      </c>
      <c r="C568" s="37" t="str">
        <f>IF(ISNA(VLOOKUP(Tableau13[[#This Row],[Code]],'Code Véhicule'!$A$4:$C$185,2,0)),"",VLOOKUP(Tableau13[[#This Row],[Code]],'Code Véhicule'!$A$4:$C$185,2,0))</f>
        <v>Camion</v>
      </c>
      <c r="D568" s="38" t="str">
        <f>IF(ISNA(VLOOKUP(Tableau13[[#This Row],[Code]],'Code Véhicule'!$A$4:$C$185,3,0)),"",VLOOKUP(Tableau13[[#This Row],[Code]],'Code Véhicule'!$A$4:$C$185,3,0))</f>
        <v>Renault</v>
      </c>
      <c r="E568" s="36" t="str">
        <f>IF(ISNA(VLOOKUP(Tableau13[[#This Row],[Code]],'Code Véhicule'!$A$4:$D$185,4,0))," ",VLOOKUP(Tableau13[[#This Row],[Code]],'Code Véhicule'!$A$4:$D$185,4,0))</f>
        <v>25636-A-13</v>
      </c>
      <c r="F568" s="36">
        <v>24292</v>
      </c>
      <c r="G568" s="38" t="s">
        <v>560</v>
      </c>
      <c r="H568" s="38" t="s">
        <v>604</v>
      </c>
      <c r="I568" s="36" t="s">
        <v>304</v>
      </c>
      <c r="J568" s="39" t="s">
        <v>1090</v>
      </c>
      <c r="K568" s="36"/>
      <c r="L568" s="40">
        <v>120</v>
      </c>
      <c r="M568" s="40">
        <v>120</v>
      </c>
      <c r="N568" s="41">
        <v>44298</v>
      </c>
      <c r="O568" s="45"/>
      <c r="P568" s="45"/>
      <c r="Q568" s="176" t="e">
        <f>MONTH([1]!Tableau13[[#This Row],[Date début]])</f>
        <v>#REF!</v>
      </c>
      <c r="R568" s="180" t="e">
        <f>YEAR([1]!Tableau13[[#This Row],[Date début]])</f>
        <v>#REF!</v>
      </c>
    </row>
    <row r="569" spans="1:18" ht="30" customHeight="1">
      <c r="A569" s="35">
        <v>44300</v>
      </c>
      <c r="B569" s="36">
        <v>407</v>
      </c>
      <c r="C569" s="37" t="str">
        <f>IF(ISNA(VLOOKUP(Tableau13[[#This Row],[Code]],'Code Véhicule'!$A$4:$C$185,2,0)),"",VLOOKUP(Tableau13[[#This Row],[Code]],'Code Véhicule'!$A$4:$C$185,2,0))</f>
        <v>Semi remorque</v>
      </c>
      <c r="D569" s="38" t="str">
        <f>IF(ISNA(VLOOKUP(Tableau13[[#This Row],[Code]],'Code Véhicule'!$A$4:$C$185,3,0)),"",VLOOKUP(Tableau13[[#This Row],[Code]],'Code Véhicule'!$A$4:$C$185,3,0))</f>
        <v>MAN</v>
      </c>
      <c r="E569" s="36" t="str">
        <f>IF(ISNA(VLOOKUP(Tableau13[[#This Row],[Code]],'Code Véhicule'!$A$4:$D$185,4,0))," ",VLOOKUP(Tableau13[[#This Row],[Code]],'Code Véhicule'!$A$4:$D$185,4,0))</f>
        <v>706-A-73</v>
      </c>
      <c r="F569" s="36">
        <v>24291</v>
      </c>
      <c r="G569" s="38" t="s">
        <v>511</v>
      </c>
      <c r="H569" s="38" t="s">
        <v>1071</v>
      </c>
      <c r="I569" s="36" t="s">
        <v>304</v>
      </c>
      <c r="J569" s="39" t="s">
        <v>1089</v>
      </c>
      <c r="K569" s="36">
        <v>161363</v>
      </c>
      <c r="L569" s="40">
        <v>180</v>
      </c>
      <c r="M569" s="40">
        <v>180</v>
      </c>
      <c r="N569" s="41">
        <v>44300</v>
      </c>
      <c r="O569" s="45"/>
      <c r="P569" s="45"/>
      <c r="Q569" s="176" t="e">
        <f>MONTH([1]!Tableau13[[#This Row],[Date début]])</f>
        <v>#REF!</v>
      </c>
      <c r="R569" s="180" t="e">
        <f>YEAR([1]!Tableau13[[#This Row],[Date début]])</f>
        <v>#REF!</v>
      </c>
    </row>
    <row r="570" spans="1:18" ht="15.75" customHeight="1">
      <c r="A570" s="35">
        <v>44300</v>
      </c>
      <c r="B570" s="36">
        <v>438</v>
      </c>
      <c r="C570" s="37" t="str">
        <f>IF(ISNA(VLOOKUP(Tableau13[[#This Row],[Code]],'Code Véhicule'!$A$4:$C$185,2,0)),"",VLOOKUP(Tableau13[[#This Row],[Code]],'Code Véhicule'!$A$4:$C$185,2,0))</f>
        <v>Semi remorque</v>
      </c>
      <c r="D570" s="38" t="str">
        <f>IF(ISNA(VLOOKUP(Tableau13[[#This Row],[Code]],'Code Véhicule'!$A$4:$C$185,3,0)),"",VLOOKUP(Tableau13[[#This Row],[Code]],'Code Véhicule'!$A$4:$C$185,3,0))</f>
        <v>VOLVO</v>
      </c>
      <c r="E570" s="36" t="str">
        <f>IF(ISNA(VLOOKUP(Tableau13[[#This Row],[Code]],'Code Véhicule'!$A$4:$D$185,4,0))," ",VLOOKUP(Tableau13[[#This Row],[Code]],'Code Véhicule'!$A$4:$D$185,4,0))</f>
        <v xml:space="preserve">17885-A-73 </v>
      </c>
      <c r="F570" s="36">
        <v>24293</v>
      </c>
      <c r="G570" s="38" t="s">
        <v>1091</v>
      </c>
      <c r="H570" s="38" t="s">
        <v>1092</v>
      </c>
      <c r="I570" s="36" t="s">
        <v>304</v>
      </c>
      <c r="J570" s="39" t="s">
        <v>1093</v>
      </c>
      <c r="K570" s="36"/>
      <c r="L570" s="40">
        <v>120</v>
      </c>
      <c r="M570" s="40">
        <v>120</v>
      </c>
      <c r="N570" s="41">
        <v>44300</v>
      </c>
      <c r="O570" s="45"/>
      <c r="P570" s="45"/>
      <c r="Q570" s="176" t="e">
        <f>MONTH([1]!Tableau13[[#This Row],[Date début]])</f>
        <v>#REF!</v>
      </c>
      <c r="R570" s="180" t="e">
        <f>YEAR([1]!Tableau13[[#This Row],[Date début]])</f>
        <v>#REF!</v>
      </c>
    </row>
    <row r="571" spans="1:18" ht="15.75" customHeight="1">
      <c r="A571" s="35">
        <v>44300</v>
      </c>
      <c r="B571" s="36">
        <v>409</v>
      </c>
      <c r="C571" s="37" t="str">
        <f>IF(ISNA(VLOOKUP(Tableau13[[#This Row],[Code]],'Code Véhicule'!$A$4:$C$185,2,0)),"",VLOOKUP(Tableau13[[#This Row],[Code]],'Code Véhicule'!$A$4:$C$185,2,0))</f>
        <v>Camion</v>
      </c>
      <c r="D571" s="38" t="str">
        <f>IF(ISNA(VLOOKUP(Tableau13[[#This Row],[Code]],'Code Véhicule'!$A$4:$C$185,3,0)),"",VLOOKUP(Tableau13[[#This Row],[Code]],'Code Véhicule'!$A$4:$C$185,3,0))</f>
        <v>Mitsubishi</v>
      </c>
      <c r="E571" s="36" t="str">
        <f>IF(ISNA(VLOOKUP(Tableau13[[#This Row],[Code]],'Code Véhicule'!$A$4:$D$185,4,0))," ",VLOOKUP(Tableau13[[#This Row],[Code]],'Code Véhicule'!$A$4:$D$185,4,0))</f>
        <v xml:space="preserve">4969-A-73 </v>
      </c>
      <c r="F571" s="36">
        <v>24295</v>
      </c>
      <c r="G571" s="38" t="s">
        <v>523</v>
      </c>
      <c r="H571" s="38" t="s">
        <v>949</v>
      </c>
      <c r="I571" s="36" t="s">
        <v>304</v>
      </c>
      <c r="J571" s="39" t="s">
        <v>1095</v>
      </c>
      <c r="K571" s="36"/>
      <c r="L571" s="40">
        <v>60</v>
      </c>
      <c r="M571" s="40">
        <v>60</v>
      </c>
      <c r="N571" s="41">
        <v>44300</v>
      </c>
      <c r="O571" s="45"/>
      <c r="P571" s="45"/>
      <c r="Q571" s="176" t="e">
        <f>MONTH([1]!Tableau13[[#This Row],[Date début]])</f>
        <v>#REF!</v>
      </c>
      <c r="R571" s="180" t="e">
        <f>YEAR([1]!Tableau13[[#This Row],[Date début]])</f>
        <v>#REF!</v>
      </c>
    </row>
    <row r="572" spans="1:18" ht="30" customHeight="1">
      <c r="A572" s="35">
        <v>44300</v>
      </c>
      <c r="B572" s="36">
        <v>426</v>
      </c>
      <c r="C572" s="37" t="str">
        <f>IF(ISNA(VLOOKUP(Tableau13[[#This Row],[Code]],'Code Véhicule'!$A$4:$C$185,2,0)),"",VLOOKUP(Tableau13[[#This Row],[Code]],'Code Véhicule'!$A$4:$C$185,2,0))</f>
        <v>Chariot elevateur</v>
      </c>
      <c r="D572" s="38" t="str">
        <f>IF(ISNA(VLOOKUP(Tableau13[[#This Row],[Code]],'Code Véhicule'!$A$4:$C$185,3,0)),"",VLOOKUP(Tableau13[[#This Row],[Code]],'Code Véhicule'!$A$4:$C$185,3,0))</f>
        <v>Manitou MC 30</v>
      </c>
      <c r="E572" s="36" t="str">
        <f>IF(ISNA(VLOOKUP(Tableau13[[#This Row],[Code]],'Code Véhicule'!$A$4:$D$185,4,0))," ",VLOOKUP(Tableau13[[#This Row],[Code]],'Code Véhicule'!$A$4:$D$185,4,0))</f>
        <v>-</v>
      </c>
      <c r="F572" s="36">
        <v>24296</v>
      </c>
      <c r="G572" s="38" t="s">
        <v>493</v>
      </c>
      <c r="H572" s="38" t="s">
        <v>601</v>
      </c>
      <c r="I572" s="36" t="s">
        <v>304</v>
      </c>
      <c r="J572" s="39" t="s">
        <v>1096</v>
      </c>
      <c r="K572" s="36">
        <v>161357</v>
      </c>
      <c r="L572" s="40">
        <v>570</v>
      </c>
      <c r="M572" s="40">
        <v>2280</v>
      </c>
      <c r="N572" s="41">
        <v>44303</v>
      </c>
      <c r="O572" s="45"/>
      <c r="P572" s="45"/>
      <c r="Q572" s="176" t="e">
        <f>MONTH([1]!Tableau13[[#This Row],[Date début]])</f>
        <v>#REF!</v>
      </c>
      <c r="R572" s="180" t="e">
        <f>YEAR([1]!Tableau13[[#This Row],[Date début]])</f>
        <v>#REF!</v>
      </c>
    </row>
    <row r="573" spans="1:18" ht="15.75" customHeight="1">
      <c r="A573" s="35">
        <v>44300</v>
      </c>
      <c r="B573" s="36">
        <v>438</v>
      </c>
      <c r="C573" s="37" t="str">
        <f>IF(ISNA(VLOOKUP(Tableau13[[#This Row],[Code]],'Code Véhicule'!$A$4:$C$185,2,0)),"",VLOOKUP(Tableau13[[#This Row],[Code]],'Code Véhicule'!$A$4:$C$185,2,0))</f>
        <v>Semi remorque</v>
      </c>
      <c r="D573" s="38" t="str">
        <f>IF(ISNA(VLOOKUP(Tableau13[[#This Row],[Code]],'Code Véhicule'!$A$4:$C$185,3,0)),"",VLOOKUP(Tableau13[[#This Row],[Code]],'Code Véhicule'!$A$4:$C$185,3,0))</f>
        <v>VOLVO</v>
      </c>
      <c r="E573" s="36" t="str">
        <f>IF(ISNA(VLOOKUP(Tableau13[[#This Row],[Code]],'Code Véhicule'!$A$4:$D$185,4,0))," ",VLOOKUP(Tableau13[[#This Row],[Code]],'Code Véhicule'!$A$4:$D$185,4,0))</f>
        <v xml:space="preserve">17885-A-73 </v>
      </c>
      <c r="F573" s="36" t="s">
        <v>1102</v>
      </c>
      <c r="G573" s="38" t="s">
        <v>1099</v>
      </c>
      <c r="H573" s="38" t="s">
        <v>1100</v>
      </c>
      <c r="I573" s="36" t="s">
        <v>304</v>
      </c>
      <c r="J573" s="39" t="s">
        <v>1101</v>
      </c>
      <c r="K573" s="36"/>
      <c r="L573" s="40"/>
      <c r="M573" s="40" t="str">
        <f>IF(ISBLANK(Tableau13[[#This Row],[N BS]]),"",(Tableau13[[#This Row],[N BS]]-Tableau13[[#This Row],[Date début]]))</f>
        <v/>
      </c>
      <c r="N573" s="41"/>
      <c r="O573" s="45"/>
      <c r="P573" s="45"/>
      <c r="Q573" s="176" t="e">
        <f>MONTH([1]!Tableau13[[#This Row],[Date début]])</f>
        <v>#REF!</v>
      </c>
      <c r="R573" s="180" t="e">
        <f>YEAR([1]!Tableau13[[#This Row],[Date début]])</f>
        <v>#REF!</v>
      </c>
    </row>
    <row r="574" spans="1:18" ht="30" customHeight="1">
      <c r="A574" s="35">
        <v>44302</v>
      </c>
      <c r="B574" s="36">
        <v>411</v>
      </c>
      <c r="C574" s="37" t="e">
        <f>IF(ISNA(VLOOKUP([2]!Tableau13[[#This Row],[Code]],'[2]cod mchn'!$A$4:$C$181,2,0)),"",VLOOKUP([2]!Tableau13[[#This Row],[Code]],'[2]cod mchn'!$A$4:$C$181,2,0))</f>
        <v>#REF!</v>
      </c>
      <c r="D574" s="38" t="e">
        <f>IF(ISNA(VLOOKUP([2]!Tableau13[[#This Row],[Code]],'[2]cod mchn'!$A$4:$C$181,3,0)),"",VLOOKUP([2]!Tableau13[[#This Row],[Code]],'[2]cod mchn'!$A$4:$C$181,3,0))</f>
        <v>#REF!</v>
      </c>
      <c r="E574" s="36" t="e">
        <f>IF(ISNA(VLOOKUP([2]!Tableau13[[#This Row],[Code]],'[2]cod mchn'!$A$4:$D$181,4,0))," ",VLOOKUP([2]!Tableau13[[#This Row],[Code]],'[2]cod mchn'!$A$4:$D$181,4,0))</f>
        <v>#REF!</v>
      </c>
      <c r="F574" s="36">
        <v>24290</v>
      </c>
      <c r="G574" s="38" t="s">
        <v>1086</v>
      </c>
      <c r="H574" s="38" t="s">
        <v>1087</v>
      </c>
      <c r="I574" s="36" t="s">
        <v>304</v>
      </c>
      <c r="J574" s="39" t="s">
        <v>1088</v>
      </c>
      <c r="K574" s="36">
        <v>161367</v>
      </c>
      <c r="L574" s="40">
        <v>240</v>
      </c>
      <c r="M574" s="40">
        <v>240</v>
      </c>
      <c r="N574" s="41">
        <v>44302</v>
      </c>
      <c r="O574" s="45"/>
      <c r="P574" s="45"/>
      <c r="Q574" s="176" t="e">
        <f>MONTH([1]!Tableau13[[#This Row],[Date début]])</f>
        <v>#REF!</v>
      </c>
      <c r="R574" s="180" t="e">
        <f>YEAR([1]!Tableau13[[#This Row],[Date début]])</f>
        <v>#REF!</v>
      </c>
    </row>
    <row r="575" spans="1:18" ht="15.75" customHeight="1">
      <c r="A575" s="35">
        <v>44303</v>
      </c>
      <c r="B575" s="36">
        <v>403</v>
      </c>
      <c r="C575" s="37" t="str">
        <f>IF(ISNA(VLOOKUP(Tableau13[[#This Row],[Code]],'Code Véhicule'!$A$4:$C$185,2,0)),"",VLOOKUP(Tableau13[[#This Row],[Code]],'Code Véhicule'!$A$4:$C$185,2,0))</f>
        <v>Camion</v>
      </c>
      <c r="D575" s="38" t="str">
        <f>IF(ISNA(VLOOKUP(Tableau13[[#This Row],[Code]],'Code Véhicule'!$A$4:$C$185,3,0)),"",VLOOKUP(Tableau13[[#This Row],[Code]],'Code Véhicule'!$A$4:$C$185,3,0))</f>
        <v>MAN</v>
      </c>
      <c r="E575" s="36" t="str">
        <f>IF(ISNA(VLOOKUP(Tableau13[[#This Row],[Code]],'Code Véhicule'!$A$4:$D$185,4,0))," ",VLOOKUP(Tableau13[[#This Row],[Code]],'Code Véhicule'!$A$4:$D$185,4,0))</f>
        <v>4790-B-8</v>
      </c>
      <c r="F575" s="36">
        <v>24604</v>
      </c>
      <c r="G575" s="38" t="s">
        <v>523</v>
      </c>
      <c r="H575" s="38" t="s">
        <v>606</v>
      </c>
      <c r="I575" s="36" t="s">
        <v>304</v>
      </c>
      <c r="J575" s="39" t="s">
        <v>335</v>
      </c>
      <c r="K575" s="36">
        <v>161371</v>
      </c>
      <c r="L575" s="40">
        <v>60</v>
      </c>
      <c r="M575" s="40">
        <v>60</v>
      </c>
      <c r="N575" s="41">
        <v>44303</v>
      </c>
      <c r="O575" s="45"/>
      <c r="P575" s="45"/>
      <c r="Q575" s="176" t="e">
        <f>MONTH([1]!Tableau13[[#This Row],[Date début]])</f>
        <v>#REF!</v>
      </c>
      <c r="R575" s="180" t="e">
        <f>YEAR([1]!Tableau13[[#This Row],[Date début]])</f>
        <v>#REF!</v>
      </c>
    </row>
    <row r="576" spans="1:18" ht="75" customHeight="1">
      <c r="A576" s="35">
        <v>44304</v>
      </c>
      <c r="B576" s="36">
        <v>406</v>
      </c>
      <c r="C576" s="37" t="str">
        <f>IF(ISNA(VLOOKUP(Tableau13[[#This Row],[Code]],'Code Véhicule'!$A$4:$C$185,2,0)),"",VLOOKUP(Tableau13[[#This Row],[Code]],'Code Véhicule'!$A$4:$C$185,2,0))</f>
        <v>Semi remorque</v>
      </c>
      <c r="D576" s="38" t="str">
        <f>IF(ISNA(VLOOKUP(Tableau13[[#This Row],[Code]],'Code Véhicule'!$A$4:$C$185,3,0)),"",VLOOKUP(Tableau13[[#This Row],[Code]],'Code Véhicule'!$A$4:$C$185,3,0))</f>
        <v>VOLVO</v>
      </c>
      <c r="E576" s="36" t="str">
        <f>IF(ISNA(VLOOKUP(Tableau13[[#This Row],[Code]],'Code Véhicule'!$A$4:$D$185,4,0))," ",VLOOKUP(Tableau13[[#This Row],[Code]],'Code Véhicule'!$A$4:$D$185,4,0))</f>
        <v>70352-A-6</v>
      </c>
      <c r="F576" s="36">
        <v>24603</v>
      </c>
      <c r="G576" s="38" t="s">
        <v>537</v>
      </c>
      <c r="H576" s="38" t="s">
        <v>1031</v>
      </c>
      <c r="I576" s="36" t="s">
        <v>304</v>
      </c>
      <c r="J576" s="39" t="s">
        <v>1107</v>
      </c>
      <c r="K576" s="36" t="s">
        <v>1108</v>
      </c>
      <c r="L576" s="40">
        <v>855</v>
      </c>
      <c r="M576" s="40">
        <v>2000</v>
      </c>
      <c r="N576" s="41">
        <v>44308</v>
      </c>
      <c r="O576" s="45"/>
      <c r="P576" s="45"/>
      <c r="Q576" s="176" t="e">
        <f>MONTH([1]!Tableau13[[#This Row],[Date début]])</f>
        <v>#REF!</v>
      </c>
      <c r="R576" s="180" t="e">
        <f>YEAR([1]!Tableau13[[#This Row],[Date début]])</f>
        <v>#REF!</v>
      </c>
    </row>
    <row r="577" spans="1:18" ht="45" customHeight="1">
      <c r="A577" s="35">
        <v>44305</v>
      </c>
      <c r="B577" s="36">
        <v>426</v>
      </c>
      <c r="C577" s="37" t="str">
        <f>IF(ISNA(VLOOKUP(Tableau13[[#This Row],[Code]],'Code Véhicule'!$A$4:$C$185,2,0)),"",VLOOKUP(Tableau13[[#This Row],[Code]],'Code Véhicule'!$A$4:$C$185,2,0))</f>
        <v>Chariot elevateur</v>
      </c>
      <c r="D577" s="38" t="str">
        <f>IF(ISNA(VLOOKUP(Tableau13[[#This Row],[Code]],'Code Véhicule'!$A$4:$C$185,3,0)),"",VLOOKUP(Tableau13[[#This Row],[Code]],'Code Véhicule'!$A$4:$C$185,3,0))</f>
        <v>Manitou MC 30</v>
      </c>
      <c r="E577" s="36" t="str">
        <f>IF(ISNA(VLOOKUP(Tableau13[[#This Row],[Code]],'Code Véhicule'!$A$4:$D$185,4,0))," ",VLOOKUP(Tableau13[[#This Row],[Code]],'Code Véhicule'!$A$4:$D$185,4,0))</f>
        <v>-</v>
      </c>
      <c r="F577" s="36">
        <v>24601</v>
      </c>
      <c r="G577" s="38" t="s">
        <v>537</v>
      </c>
      <c r="H577" s="38" t="s">
        <v>1017</v>
      </c>
      <c r="I577" s="36" t="s">
        <v>304</v>
      </c>
      <c r="J577" s="39" t="s">
        <v>1105</v>
      </c>
      <c r="K577" s="36" t="s">
        <v>1106</v>
      </c>
      <c r="L577" s="40"/>
      <c r="M577" s="40" t="e">
        <f>IF(ISBLANK(Tableau13[[#This Row],[N BS]]),"",(Tableau13[[#This Row],[N BS]]-Tableau13[[#This Row],[Date début]]))</f>
        <v>#VALUE!</v>
      </c>
      <c r="N577" s="41"/>
      <c r="O577" s="45"/>
      <c r="P577" s="45"/>
      <c r="Q577" s="176" t="e">
        <f>MONTH([1]!Tableau13[[#This Row],[Date début]])</f>
        <v>#REF!</v>
      </c>
      <c r="R577" s="180" t="e">
        <f>YEAR([1]!Tableau13[[#This Row],[Date début]])</f>
        <v>#REF!</v>
      </c>
    </row>
    <row r="578" spans="1:18" ht="15.75" customHeight="1">
      <c r="A578" s="35">
        <v>44305</v>
      </c>
      <c r="B578" s="36">
        <v>480</v>
      </c>
      <c r="C578" s="37" t="str">
        <f>IF(ISNA(VLOOKUP(Tableau13[[#This Row],[Code]],'Code Véhicule'!$A$4:$C$185,2,0)),"",VLOOKUP(Tableau13[[#This Row],[Code]],'Code Véhicule'!$A$4:$C$185,2,0))</f>
        <v>Camion</v>
      </c>
      <c r="D578" s="38" t="str">
        <f>IF(ISNA(VLOOKUP(Tableau13[[#This Row],[Code]],'Code Véhicule'!$A$4:$C$185,3,0)),"",VLOOKUP(Tableau13[[#This Row],[Code]],'Code Véhicule'!$A$4:$C$185,3,0))</f>
        <v>VOLVO</v>
      </c>
      <c r="E578" s="36" t="str">
        <f>IF(ISNA(VLOOKUP(Tableau13[[#This Row],[Code]],'Code Véhicule'!$A$4:$D$185,4,0))," ",VLOOKUP(Tableau13[[#This Row],[Code]],'Code Véhicule'!$A$4:$D$185,4,0))</f>
        <v>22299-A-73</v>
      </c>
      <c r="F578" s="36">
        <v>24605</v>
      </c>
      <c r="G578" s="38" t="s">
        <v>403</v>
      </c>
      <c r="H578" s="38" t="s">
        <v>805</v>
      </c>
      <c r="I578" s="36" t="s">
        <v>304</v>
      </c>
      <c r="J578" s="39" t="s">
        <v>479</v>
      </c>
      <c r="K578" s="36">
        <v>161375</v>
      </c>
      <c r="L578" s="40">
        <v>120</v>
      </c>
      <c r="M578" s="40">
        <v>120</v>
      </c>
      <c r="N578" s="41">
        <v>44305</v>
      </c>
      <c r="O578" s="45"/>
      <c r="P578" s="45"/>
      <c r="Q578" s="176" t="e">
        <f>MONTH([1]!Tableau13[[#This Row],[Date début]])</f>
        <v>#REF!</v>
      </c>
      <c r="R578" s="180" t="e">
        <f>YEAR([1]!Tableau13[[#This Row],[Date début]])</f>
        <v>#REF!</v>
      </c>
    </row>
    <row r="579" spans="1:18" ht="15.75" customHeight="1">
      <c r="A579" s="35">
        <v>44305</v>
      </c>
      <c r="B579" s="36">
        <v>409</v>
      </c>
      <c r="C579" s="37" t="str">
        <f>IF(ISNA(VLOOKUP(Tableau13[[#This Row],[Code]],'Code Véhicule'!$A$4:$C$185,2,0)),"",VLOOKUP(Tableau13[[#This Row],[Code]],'Code Véhicule'!$A$4:$C$185,2,0))</f>
        <v>Camion</v>
      </c>
      <c r="D579" s="38" t="str">
        <f>IF(ISNA(VLOOKUP(Tableau13[[#This Row],[Code]],'Code Véhicule'!$A$4:$C$185,3,0)),"",VLOOKUP(Tableau13[[#This Row],[Code]],'Code Véhicule'!$A$4:$C$185,3,0))</f>
        <v>Mitsubishi</v>
      </c>
      <c r="E579" s="36" t="str">
        <f>IF(ISNA(VLOOKUP(Tableau13[[#This Row],[Code]],'Code Véhicule'!$A$4:$D$185,4,0))," ",VLOOKUP(Tableau13[[#This Row],[Code]],'Code Véhicule'!$A$4:$D$185,4,0))</f>
        <v xml:space="preserve">4969-A-73 </v>
      </c>
      <c r="F579" s="36">
        <v>24606</v>
      </c>
      <c r="G579" s="38" t="s">
        <v>403</v>
      </c>
      <c r="H579" s="38" t="s">
        <v>1109</v>
      </c>
      <c r="I579" s="36" t="s">
        <v>304</v>
      </c>
      <c r="J579" s="39" t="s">
        <v>1110</v>
      </c>
      <c r="K579" s="36">
        <v>161376</v>
      </c>
      <c r="L579" s="40">
        <v>120</v>
      </c>
      <c r="M579" s="40">
        <v>120</v>
      </c>
      <c r="N579" s="41">
        <v>44305</v>
      </c>
      <c r="O579" s="45"/>
      <c r="P579" s="45"/>
      <c r="Q579" s="176" t="e">
        <f>MONTH([1]!Tableau13[[#This Row],[Date début]])</f>
        <v>#REF!</v>
      </c>
      <c r="R579" s="180" t="e">
        <f>YEAR([1]!Tableau13[[#This Row],[Date début]])</f>
        <v>#REF!</v>
      </c>
    </row>
    <row r="580" spans="1:18" ht="105" customHeight="1">
      <c r="A580" s="35">
        <v>44306</v>
      </c>
      <c r="B580" s="36">
        <v>431</v>
      </c>
      <c r="C580" s="37" t="str">
        <f>IF(ISNA(VLOOKUP(Tableau13[[#This Row],[Code]],'Code Véhicule'!$A$4:$C$185,2,0)),"",VLOOKUP(Tableau13[[#This Row],[Code]],'Code Véhicule'!$A$4:$C$185,2,0))</f>
        <v>Chariot elevateur</v>
      </c>
      <c r="D580" s="38" t="str">
        <f>IF(ISNA(VLOOKUP(Tableau13[[#This Row],[Code]],'Code Véhicule'!$A$4:$C$185,3,0)),"",VLOOKUP(Tableau13[[#This Row],[Code]],'Code Véhicule'!$A$4:$C$185,3,0))</f>
        <v>Manitou M26-2</v>
      </c>
      <c r="E580" s="36" t="str">
        <f>IF(ISNA(VLOOKUP(Tableau13[[#This Row],[Code]],'Code Véhicule'!$A$4:$D$185,4,0))," ",VLOOKUP(Tableau13[[#This Row],[Code]],'Code Véhicule'!$A$4:$D$185,4,0))</f>
        <v>-</v>
      </c>
      <c r="F580" s="36">
        <v>24615</v>
      </c>
      <c r="G580" s="38" t="s">
        <v>545</v>
      </c>
      <c r="H580" s="38" t="s">
        <v>620</v>
      </c>
      <c r="I580" s="36" t="s">
        <v>304</v>
      </c>
      <c r="J580" s="39" t="s">
        <v>1124</v>
      </c>
      <c r="K580" s="36" t="s">
        <v>1125</v>
      </c>
      <c r="L580" s="40">
        <v>5700</v>
      </c>
      <c r="M580" s="40">
        <v>7411</v>
      </c>
      <c r="N580" s="41">
        <v>44319</v>
      </c>
      <c r="O580" s="45"/>
      <c r="P580" s="45"/>
      <c r="Q580" s="176" t="e">
        <f>MONTH([1]!Tableau13[[#This Row],[Date début]])</f>
        <v>#REF!</v>
      </c>
      <c r="R580" s="180" t="e">
        <f>YEAR([1]!Tableau13[[#This Row],[Date début]])</f>
        <v>#REF!</v>
      </c>
    </row>
    <row r="581" spans="1:18" ht="135" customHeight="1">
      <c r="A581" s="35">
        <v>44306</v>
      </c>
      <c r="B581" s="36">
        <v>422</v>
      </c>
      <c r="C581" s="37" t="str">
        <f>IF(ISNA(VLOOKUP(Tableau13[[#This Row],[Code]],'Code Véhicule'!$A$4:$C$185,2,0)),"",VLOOKUP(Tableau13[[#This Row],[Code]],'Code Véhicule'!$A$4:$C$185,2,0))</f>
        <v>Chariot elevateur</v>
      </c>
      <c r="D581" s="38" t="str">
        <f>IF(ISNA(VLOOKUP(Tableau13[[#This Row],[Code]],'Code Véhicule'!$A$4:$C$185,3,0)),"",VLOOKUP(Tableau13[[#This Row],[Code]],'Code Véhicule'!$A$4:$C$185,3,0))</f>
        <v>Fenwick LINDE 25</v>
      </c>
      <c r="E581" s="36" t="str">
        <f>IF(ISNA(VLOOKUP(Tableau13[[#This Row],[Code]],'Code Véhicule'!$A$4:$D$185,4,0))," ",VLOOKUP(Tableau13[[#This Row],[Code]],'Code Véhicule'!$A$4:$D$185,4,0))</f>
        <v>-</v>
      </c>
      <c r="F581" s="36">
        <v>24634</v>
      </c>
      <c r="G581" s="38" t="s">
        <v>1146</v>
      </c>
      <c r="H581" s="38" t="s">
        <v>632</v>
      </c>
      <c r="I581" s="36" t="s">
        <v>304</v>
      </c>
      <c r="J581" s="39" t="s">
        <v>1147</v>
      </c>
      <c r="K581" s="36" t="s">
        <v>1148</v>
      </c>
      <c r="L581" s="40">
        <v>14800</v>
      </c>
      <c r="M581" s="40">
        <v>14800</v>
      </c>
      <c r="N581" s="41">
        <v>44336</v>
      </c>
      <c r="O581" s="45"/>
      <c r="P581" s="45"/>
      <c r="Q581" s="176" t="e">
        <f>MONTH([1]!Tableau13[[#This Row],[Date début]])</f>
        <v>#REF!</v>
      </c>
      <c r="R581" s="180" t="e">
        <f>YEAR([1]!Tableau13[[#This Row],[Date début]])</f>
        <v>#REF!</v>
      </c>
    </row>
    <row r="582" spans="1:18" ht="30" customHeight="1">
      <c r="A582" s="35">
        <v>44307</v>
      </c>
      <c r="B582" s="36">
        <v>411</v>
      </c>
      <c r="C582" s="37" t="str">
        <f>IF(ISNA(VLOOKUP(Tableau13[[#This Row],[Code]],'Code Véhicule'!$A$4:$C$185,2,0)),"",VLOOKUP(Tableau13[[#This Row],[Code]],'Code Véhicule'!$A$4:$C$185,2,0))</f>
        <v>Camion</v>
      </c>
      <c r="D582" s="38" t="str">
        <f>IF(ISNA(VLOOKUP(Tableau13[[#This Row],[Code]],'Code Véhicule'!$A$4:$C$185,3,0)),"",VLOOKUP(Tableau13[[#This Row],[Code]],'Code Véhicule'!$A$4:$C$185,3,0))</f>
        <v>Renault</v>
      </c>
      <c r="E582" s="36" t="str">
        <f>IF(ISNA(VLOOKUP(Tableau13[[#This Row],[Code]],'Code Véhicule'!$A$4:$D$185,4,0))," ",VLOOKUP(Tableau13[[#This Row],[Code]],'Code Véhicule'!$A$4:$D$185,4,0))</f>
        <v>25636-A-13</v>
      </c>
      <c r="F582" s="36">
        <v>24607</v>
      </c>
      <c r="G582" s="38" t="s">
        <v>393</v>
      </c>
      <c r="H582" s="38" t="s">
        <v>613</v>
      </c>
      <c r="I582" s="36" t="s">
        <v>302</v>
      </c>
      <c r="J582" s="39" t="s">
        <v>1111</v>
      </c>
      <c r="K582" s="36" t="s">
        <v>1112</v>
      </c>
      <c r="L582" s="40">
        <v>120</v>
      </c>
      <c r="M582" s="40">
        <v>120</v>
      </c>
      <c r="N582" s="41">
        <v>44307</v>
      </c>
      <c r="O582" s="45"/>
      <c r="P582" s="45"/>
      <c r="Q582" s="176" t="e">
        <f>MONTH([1]!Tableau13[[#This Row],[Date début]])</f>
        <v>#REF!</v>
      </c>
      <c r="R582" s="180" t="e">
        <f>YEAR([1]!Tableau13[[#This Row],[Date début]])</f>
        <v>#REF!</v>
      </c>
    </row>
    <row r="583" spans="1:18" ht="45" customHeight="1">
      <c r="A583" s="35">
        <v>44309</v>
      </c>
      <c r="B583" s="36">
        <v>433</v>
      </c>
      <c r="C583" s="37" t="str">
        <f>IF(ISNA(VLOOKUP(Tableau13[[#This Row],[Code]],'Code Véhicule'!$A$4:$C$185,2,0)),"",VLOOKUP(Tableau13[[#This Row],[Code]],'Code Véhicule'!$A$4:$C$185,2,0))</f>
        <v>Voiture de fonction</v>
      </c>
      <c r="D583" s="38" t="str">
        <f>IF(ISNA(VLOOKUP(Tableau13[[#This Row],[Code]],'Code Véhicule'!$A$4:$C$185,3,0)),"",VLOOKUP(Tableau13[[#This Row],[Code]],'Code Véhicule'!$A$4:$C$185,3,0))</f>
        <v>Berlingo</v>
      </c>
      <c r="E583" s="36" t="str">
        <f>IF(ISNA(VLOOKUP(Tableau13[[#This Row],[Code]],'Code Véhicule'!$A$4:$D$185,4,0))," ",VLOOKUP(Tableau13[[#This Row],[Code]],'Code Véhicule'!$A$4:$D$185,4,0))</f>
        <v>10551-A-73</v>
      </c>
      <c r="F583" s="36">
        <v>24608</v>
      </c>
      <c r="G583" s="38" t="s">
        <v>393</v>
      </c>
      <c r="H583" s="38" t="s">
        <v>608</v>
      </c>
      <c r="I583" s="36" t="s">
        <v>302</v>
      </c>
      <c r="J583" s="39" t="s">
        <v>1113</v>
      </c>
      <c r="K583" s="36">
        <v>161388</v>
      </c>
      <c r="L583" s="40">
        <v>120</v>
      </c>
      <c r="M583" s="40">
        <v>120</v>
      </c>
      <c r="N583" s="41">
        <v>44309</v>
      </c>
      <c r="O583" s="45"/>
      <c r="P583" s="45"/>
      <c r="Q583" s="176" t="e">
        <f>MONTH([1]!Tableau13[[#This Row],[Date début]])</f>
        <v>#REF!</v>
      </c>
      <c r="R583" s="180" t="e">
        <f>YEAR([1]!Tableau13[[#This Row],[Date début]])</f>
        <v>#REF!</v>
      </c>
    </row>
    <row r="584" spans="1:18" ht="15.75" customHeight="1">
      <c r="A584" s="35">
        <v>44312</v>
      </c>
      <c r="B584" s="36">
        <v>480</v>
      </c>
      <c r="C584" s="37" t="str">
        <f>IF(ISNA(VLOOKUP(Tableau13[[#This Row],[Code]],'Code Véhicule'!$A$4:$C$185,2,0)),"",VLOOKUP(Tableau13[[#This Row],[Code]],'Code Véhicule'!$A$4:$C$185,2,0))</f>
        <v>Camion</v>
      </c>
      <c r="D584" s="38" t="str">
        <f>IF(ISNA(VLOOKUP(Tableau13[[#This Row],[Code]],'Code Véhicule'!$A$4:$C$185,3,0)),"",VLOOKUP(Tableau13[[#This Row],[Code]],'Code Véhicule'!$A$4:$C$185,3,0))</f>
        <v>VOLVO</v>
      </c>
      <c r="E584" s="36" t="str">
        <f>IF(ISNA(VLOOKUP(Tableau13[[#This Row],[Code]],'Code Véhicule'!$A$4:$D$185,4,0))," ",VLOOKUP(Tableau13[[#This Row],[Code]],'Code Véhicule'!$A$4:$D$185,4,0))</f>
        <v>22299-A-73</v>
      </c>
      <c r="F584" s="36">
        <v>24621</v>
      </c>
      <c r="G584" s="38" t="s">
        <v>393</v>
      </c>
      <c r="H584" s="38" t="s">
        <v>613</v>
      </c>
      <c r="I584" s="36" t="s">
        <v>302</v>
      </c>
      <c r="J584" s="39" t="s">
        <v>1134</v>
      </c>
      <c r="K584" s="36">
        <v>1621398</v>
      </c>
      <c r="L584" s="40">
        <v>60</v>
      </c>
      <c r="M584" s="40">
        <v>60</v>
      </c>
      <c r="N584" s="41">
        <v>44312</v>
      </c>
      <c r="O584" s="45"/>
      <c r="P584" s="45"/>
      <c r="Q584" s="176" t="e">
        <f>MONTH([1]!Tableau13[[#This Row],[Date début]])</f>
        <v>#REF!</v>
      </c>
      <c r="R584" s="180" t="e">
        <f>YEAR([1]!Tableau13[[#This Row],[Date début]])</f>
        <v>#REF!</v>
      </c>
    </row>
    <row r="585" spans="1:18" ht="15.75" customHeight="1">
      <c r="A585" s="35">
        <v>44313</v>
      </c>
      <c r="B585" s="36">
        <v>413</v>
      </c>
      <c r="C585" s="37" t="str">
        <f>IF(ISNA(VLOOKUP(Tableau13[[#This Row],[Code]],'Code Véhicule'!$A$4:$C$185,2,0)),"",VLOOKUP(Tableau13[[#This Row],[Code]],'Code Véhicule'!$A$4:$C$185,2,0))</f>
        <v>Chargeur</v>
      </c>
      <c r="D585" s="38" t="str">
        <f>IF(ISNA(VLOOKUP(Tableau13[[#This Row],[Code]],'Code Véhicule'!$A$4:$C$185,3,0)),"",VLOOKUP(Tableau13[[#This Row],[Code]],'Code Véhicule'!$A$4:$C$185,3,0))</f>
        <v>Caterpillar</v>
      </c>
      <c r="E585" s="36" t="str">
        <f>IF(ISNA(VLOOKUP(Tableau13[[#This Row],[Code]],'Code Véhicule'!$A$4:$D$185,4,0))," ",VLOOKUP(Tableau13[[#This Row],[Code]],'Code Véhicule'!$A$4:$D$185,4,0))</f>
        <v>-</v>
      </c>
      <c r="F585" s="36">
        <v>24609</v>
      </c>
      <c r="G585" s="38" t="s">
        <v>545</v>
      </c>
      <c r="H585" s="38" t="s">
        <v>1118</v>
      </c>
      <c r="I585" s="36" t="s">
        <v>304</v>
      </c>
      <c r="J585" s="39" t="s">
        <v>1119</v>
      </c>
      <c r="K585" s="36">
        <v>162202</v>
      </c>
      <c r="L585" s="40">
        <v>120</v>
      </c>
      <c r="M585" s="40">
        <v>120</v>
      </c>
      <c r="N585" s="41">
        <v>44313</v>
      </c>
      <c r="O585" s="45"/>
      <c r="P585" s="45"/>
      <c r="Q585" s="176" t="e">
        <f>MONTH([1]!Tableau13[[#This Row],[Date début]])</f>
        <v>#REF!</v>
      </c>
      <c r="R585" s="180" t="e">
        <f>YEAR([1]!Tableau13[[#This Row],[Date début]])</f>
        <v>#REF!</v>
      </c>
    </row>
    <row r="586" spans="1:18" ht="60" customHeight="1">
      <c r="A586" s="35">
        <v>44313</v>
      </c>
      <c r="B586" s="36">
        <v>433</v>
      </c>
      <c r="C586" s="37" t="str">
        <f>IF(ISNA(VLOOKUP(Tableau13[[#This Row],[Code]],'Code Véhicule'!$A$4:$C$185,2,0)),"",VLOOKUP(Tableau13[[#This Row],[Code]],'Code Véhicule'!$A$4:$C$185,2,0))</f>
        <v>Voiture de fonction</v>
      </c>
      <c r="D586" s="38" t="str">
        <f>IF(ISNA(VLOOKUP(Tableau13[[#This Row],[Code]],'Code Véhicule'!$A$4:$C$185,3,0)),"",VLOOKUP(Tableau13[[#This Row],[Code]],'Code Véhicule'!$A$4:$C$185,3,0))</f>
        <v>Berlingo</v>
      </c>
      <c r="E586" s="36" t="str">
        <f>IF(ISNA(VLOOKUP(Tableau13[[#This Row],[Code]],'Code Véhicule'!$A$4:$D$185,4,0))," ",VLOOKUP(Tableau13[[#This Row],[Code]],'Code Véhicule'!$A$4:$D$185,4,0))</f>
        <v>10551-A-73</v>
      </c>
      <c r="F586" s="36">
        <v>24610</v>
      </c>
      <c r="G586" s="38" t="s">
        <v>313</v>
      </c>
      <c r="H586" s="38" t="s">
        <v>1120</v>
      </c>
      <c r="I586" s="36" t="s">
        <v>304</v>
      </c>
      <c r="J586" s="39" t="s">
        <v>1121</v>
      </c>
      <c r="K586" s="36" t="s">
        <v>1122</v>
      </c>
      <c r="L586" s="40">
        <v>570</v>
      </c>
      <c r="M586" s="40">
        <v>570</v>
      </c>
      <c r="N586" s="41">
        <v>44313</v>
      </c>
      <c r="O586" s="45"/>
      <c r="P586" s="45"/>
      <c r="Q586" s="176" t="e">
        <f>MONTH([1]!Tableau13[[#This Row],[Date début]])</f>
        <v>#REF!</v>
      </c>
      <c r="R586" s="180" t="e">
        <f>YEAR([1]!Tableau13[[#This Row],[Date début]])</f>
        <v>#REF!</v>
      </c>
    </row>
    <row r="587" spans="1:18" ht="15.75" customHeight="1">
      <c r="A587" s="35">
        <v>44313</v>
      </c>
      <c r="B587" s="36">
        <v>481</v>
      </c>
      <c r="C587" s="37" t="str">
        <f>IF(ISNA(VLOOKUP(Tableau13[[#This Row],[Code]],'Code Véhicule'!$A$4:$C$185,2,0)),"",VLOOKUP(Tableau13[[#This Row],[Code]],'Code Véhicule'!$A$4:$C$185,2,0))</f>
        <v>Camion</v>
      </c>
      <c r="D587" s="38" t="str">
        <f>IF(ISNA(VLOOKUP(Tableau13[[#This Row],[Code]],'Code Véhicule'!$A$4:$C$185,3,0)),"",VLOOKUP(Tableau13[[#This Row],[Code]],'Code Véhicule'!$A$4:$C$185,3,0))</f>
        <v>VOLVO</v>
      </c>
      <c r="E587" s="36" t="str">
        <f>IF(ISNA(VLOOKUP(Tableau13[[#This Row],[Code]],'Code Véhicule'!$A$4:$D$185,4,0))," ",VLOOKUP(Tableau13[[#This Row],[Code]],'Code Véhicule'!$A$4:$D$185,4,0))</f>
        <v>22300-A-73</v>
      </c>
      <c r="F587" s="36">
        <v>24611</v>
      </c>
      <c r="G587" s="38" t="s">
        <v>560</v>
      </c>
      <c r="H587" s="38" t="s">
        <v>604</v>
      </c>
      <c r="I587" s="36" t="s">
        <v>304</v>
      </c>
      <c r="J587" s="39" t="s">
        <v>319</v>
      </c>
      <c r="K587" s="36">
        <v>162205</v>
      </c>
      <c r="L587" s="40">
        <v>120</v>
      </c>
      <c r="M587" s="40">
        <v>120</v>
      </c>
      <c r="N587" s="41">
        <v>44313</v>
      </c>
      <c r="O587" s="45"/>
      <c r="P587" s="45"/>
      <c r="Q587" s="176" t="e">
        <f>MONTH([1]!Tableau13[[#This Row],[Date début]])</f>
        <v>#REF!</v>
      </c>
      <c r="R587" s="180" t="e">
        <f>YEAR([1]!Tableau13[[#This Row],[Date début]])</f>
        <v>#REF!</v>
      </c>
    </row>
    <row r="588" spans="1:18" ht="45" customHeight="1">
      <c r="A588" s="35">
        <v>44314</v>
      </c>
      <c r="B588" s="36">
        <v>429</v>
      </c>
      <c r="C588" s="37" t="str">
        <f>IF(ISNA(VLOOKUP(Tableau13[[#This Row],[Code]],'Code Véhicule'!$A$4:$C$185,2,0)),"",VLOOKUP(Tableau13[[#This Row],[Code]],'Code Véhicule'!$A$4:$C$185,2,0))</f>
        <v>Chariot elevateur</v>
      </c>
      <c r="D588" s="38" t="str">
        <f>IF(ISNA(VLOOKUP(Tableau13[[#This Row],[Code]],'Code Véhicule'!$A$4:$C$185,3,0)),"",VLOOKUP(Tableau13[[#This Row],[Code]],'Code Véhicule'!$A$4:$C$185,3,0))</f>
        <v>Fenwick HD30</v>
      </c>
      <c r="E588" s="36" t="str">
        <f>IF(ISNA(VLOOKUP(Tableau13[[#This Row],[Code]],'Code Véhicule'!$A$4:$D$185,4,0))," ",VLOOKUP(Tableau13[[#This Row],[Code]],'Code Véhicule'!$A$4:$D$185,4,0))</f>
        <v>-</v>
      </c>
      <c r="F588" s="36">
        <v>24613</v>
      </c>
      <c r="G588" s="38" t="s">
        <v>393</v>
      </c>
      <c r="H588" s="38" t="s">
        <v>608</v>
      </c>
      <c r="I588" s="36" t="s">
        <v>304</v>
      </c>
      <c r="J588" s="39" t="s">
        <v>1123</v>
      </c>
      <c r="K588" s="36">
        <v>162207</v>
      </c>
      <c r="L588" s="40">
        <v>60</v>
      </c>
      <c r="M588" s="40">
        <v>60</v>
      </c>
      <c r="N588" s="41">
        <v>44314</v>
      </c>
      <c r="O588" s="45"/>
      <c r="P588" s="45"/>
      <c r="Q588" s="176" t="e">
        <f>MONTH([1]!Tableau13[[#This Row],[Date début]])</f>
        <v>#REF!</v>
      </c>
      <c r="R588" s="180" t="e">
        <f>YEAR([1]!Tableau13[[#This Row],[Date début]])</f>
        <v>#REF!</v>
      </c>
    </row>
    <row r="589" spans="1:18" ht="60" customHeight="1">
      <c r="A589" s="35">
        <v>44314</v>
      </c>
      <c r="B589" s="36">
        <v>472</v>
      </c>
      <c r="C589" s="37" t="str">
        <f>IF(ISNA(VLOOKUP(Tableau13[[#This Row],[Code]],'Code Véhicule'!$A$4:$C$185,2,0)),"",VLOOKUP(Tableau13[[#This Row],[Code]],'Code Véhicule'!$A$4:$C$185,2,0))</f>
        <v>Chariot elevateur</v>
      </c>
      <c r="D589" s="38" t="str">
        <f>IF(ISNA(VLOOKUP(Tableau13[[#This Row],[Code]],'Code Véhicule'!$A$4:$C$185,3,0)),"",VLOOKUP(Tableau13[[#This Row],[Code]],'Code Véhicule'!$A$4:$C$185,3,0))</f>
        <v>Linde H25d</v>
      </c>
      <c r="E589" s="36" t="str">
        <f>IF(ISNA(VLOOKUP(Tableau13[[#This Row],[Code]],'Code Véhicule'!$A$4:$D$185,4,0))," ",VLOOKUP(Tableau13[[#This Row],[Code]],'Code Véhicule'!$A$4:$D$185,4,0))</f>
        <v>-</v>
      </c>
      <c r="F589" s="36">
        <v>24617</v>
      </c>
      <c r="G589" s="38" t="s">
        <v>393</v>
      </c>
      <c r="H589" s="38" t="s">
        <v>608</v>
      </c>
      <c r="I589" s="36" t="s">
        <v>304</v>
      </c>
      <c r="J589" s="39" t="s">
        <v>1126</v>
      </c>
      <c r="K589" s="36">
        <v>162209</v>
      </c>
      <c r="L589" s="40">
        <v>60</v>
      </c>
      <c r="M589" s="40">
        <v>60</v>
      </c>
      <c r="N589" s="41">
        <v>44314</v>
      </c>
      <c r="O589" s="45"/>
      <c r="P589" s="45"/>
      <c r="Q589" s="176" t="e">
        <f>MONTH([1]!Tableau13[[#This Row],[Date début]])</f>
        <v>#REF!</v>
      </c>
      <c r="R589" s="180" t="e">
        <f>YEAR([1]!Tableau13[[#This Row],[Date début]])</f>
        <v>#REF!</v>
      </c>
    </row>
    <row r="590" spans="1:18" ht="15.75" customHeight="1">
      <c r="A590" s="35">
        <v>44314</v>
      </c>
      <c r="B590" s="36">
        <v>438</v>
      </c>
      <c r="C590" s="37" t="str">
        <f>IF(ISNA(VLOOKUP(Tableau13[[#This Row],[Code]],'Code Véhicule'!$A$4:$C$185,2,0)),"",VLOOKUP(Tableau13[[#This Row],[Code]],'Code Véhicule'!$A$4:$C$185,2,0))</f>
        <v>Semi remorque</v>
      </c>
      <c r="D590" s="38" t="str">
        <f>IF(ISNA(VLOOKUP(Tableau13[[#This Row],[Code]],'Code Véhicule'!$A$4:$C$185,3,0)),"",VLOOKUP(Tableau13[[#This Row],[Code]],'Code Véhicule'!$A$4:$C$185,3,0))</f>
        <v>VOLVO</v>
      </c>
      <c r="E590" s="36" t="str">
        <f>IF(ISNA(VLOOKUP(Tableau13[[#This Row],[Code]],'Code Véhicule'!$A$4:$D$185,4,0))," ",VLOOKUP(Tableau13[[#This Row],[Code]],'Code Véhicule'!$A$4:$D$185,4,0))</f>
        <v xml:space="preserve">17885-A-73 </v>
      </c>
      <c r="F590" s="36">
        <v>24612</v>
      </c>
      <c r="G590" s="38" t="s">
        <v>560</v>
      </c>
      <c r="H590" s="38" t="s">
        <v>604</v>
      </c>
      <c r="I590" s="36" t="s">
        <v>304</v>
      </c>
      <c r="J590" s="39" t="s">
        <v>319</v>
      </c>
      <c r="K590" s="36">
        <v>162206</v>
      </c>
      <c r="L590" s="40">
        <v>120</v>
      </c>
      <c r="M590" s="40">
        <v>120</v>
      </c>
      <c r="N590" s="41">
        <v>44313</v>
      </c>
      <c r="O590" s="45"/>
      <c r="P590" s="45"/>
      <c r="Q590" s="176" t="e">
        <f>MONTH([1]!Tableau13[[#This Row],[Date début]])</f>
        <v>#REF!</v>
      </c>
      <c r="R590" s="180" t="e">
        <f>YEAR([1]!Tableau13[[#This Row],[Date début]])</f>
        <v>#REF!</v>
      </c>
    </row>
    <row r="591" spans="1:18" ht="15.75" customHeight="1">
      <c r="A591" s="35">
        <v>44314</v>
      </c>
      <c r="B591" s="36">
        <v>410</v>
      </c>
      <c r="C591" s="37" t="str">
        <f>IF(ISNA(VLOOKUP(Tableau13[[#This Row],[Code]],'Code Véhicule'!$A$4:$C$185,2,0)),"",VLOOKUP(Tableau13[[#This Row],[Code]],'Code Véhicule'!$A$4:$C$185,2,0))</f>
        <v>Semi remorque</v>
      </c>
      <c r="D591" s="38" t="str">
        <f>IF(ISNA(VLOOKUP(Tableau13[[#This Row],[Code]],'Code Véhicule'!$A$4:$C$185,3,0)),"",VLOOKUP(Tableau13[[#This Row],[Code]],'Code Véhicule'!$A$4:$C$185,3,0))</f>
        <v>MAN</v>
      </c>
      <c r="E591" s="36" t="str">
        <f>IF(ISNA(VLOOKUP(Tableau13[[#This Row],[Code]],'Code Véhicule'!$A$4:$D$185,4,0))," ",VLOOKUP(Tableau13[[#This Row],[Code]],'Code Véhicule'!$A$4:$D$185,4,0))</f>
        <v xml:space="preserve">28659-D-1 </v>
      </c>
      <c r="F591" s="36">
        <v>24614</v>
      </c>
      <c r="G591" s="38" t="s">
        <v>560</v>
      </c>
      <c r="H591" s="38" t="s">
        <v>604</v>
      </c>
      <c r="I591" s="36" t="s">
        <v>304</v>
      </c>
      <c r="J591" s="39" t="s">
        <v>319</v>
      </c>
      <c r="K591" s="36"/>
      <c r="L591" s="40">
        <v>120</v>
      </c>
      <c r="M591" s="40">
        <v>120</v>
      </c>
      <c r="N591" s="41">
        <v>44314</v>
      </c>
      <c r="O591" s="45"/>
      <c r="P591" s="45"/>
      <c r="Q591" s="176" t="e">
        <f>MONTH([1]!Tableau13[[#This Row],[Date début]])</f>
        <v>#REF!</v>
      </c>
      <c r="R591" s="180" t="e">
        <f>YEAR([1]!Tableau13[[#This Row],[Date début]])</f>
        <v>#REF!</v>
      </c>
    </row>
    <row r="592" spans="1:18" ht="15.75" customHeight="1">
      <c r="A592" s="35">
        <v>44315</v>
      </c>
      <c r="B592" s="36">
        <v>406</v>
      </c>
      <c r="C592" s="37" t="str">
        <f>IF(ISNA(VLOOKUP(Tableau13[[#This Row],[Code]],'Code Véhicule'!$A$4:$C$185,2,0)),"",VLOOKUP(Tableau13[[#This Row],[Code]],'Code Véhicule'!$A$4:$C$185,2,0))</f>
        <v>Semi remorque</v>
      </c>
      <c r="D592" s="38" t="str">
        <f>IF(ISNA(VLOOKUP(Tableau13[[#This Row],[Code]],'Code Véhicule'!$A$4:$C$185,3,0)),"",VLOOKUP(Tableau13[[#This Row],[Code]],'Code Véhicule'!$A$4:$C$185,3,0))</f>
        <v>VOLVO</v>
      </c>
      <c r="E592" s="36" t="str">
        <f>IF(ISNA(VLOOKUP(Tableau13[[#This Row],[Code]],'Code Véhicule'!$A$4:$D$185,4,0))," ",VLOOKUP(Tableau13[[#This Row],[Code]],'Code Véhicule'!$A$4:$D$185,4,0))</f>
        <v>70352-A-6</v>
      </c>
      <c r="F592" s="36">
        <v>24618</v>
      </c>
      <c r="G592" s="38" t="s">
        <v>334</v>
      </c>
      <c r="H592" s="38" t="s">
        <v>606</v>
      </c>
      <c r="I592" s="36" t="s">
        <v>304</v>
      </c>
      <c r="J592" s="39" t="s">
        <v>1127</v>
      </c>
      <c r="K592" s="36">
        <v>162211</v>
      </c>
      <c r="L592" s="40">
        <v>60</v>
      </c>
      <c r="M592" s="40">
        <v>60</v>
      </c>
      <c r="N592" s="41">
        <v>44315</v>
      </c>
      <c r="O592" s="45"/>
      <c r="P592" s="45"/>
      <c r="Q592" s="176" t="e">
        <f>MONTH([1]!Tableau13[[#This Row],[Date début]])</f>
        <v>#REF!</v>
      </c>
      <c r="R592" s="180" t="e">
        <f>YEAR([1]!Tableau13[[#This Row],[Date début]])</f>
        <v>#REF!</v>
      </c>
    </row>
    <row r="593" spans="1:18" ht="60" customHeight="1">
      <c r="A593" s="35">
        <v>44315</v>
      </c>
      <c r="B593" s="36">
        <v>482</v>
      </c>
      <c r="C593" s="37" t="str">
        <f>IF(ISNA(VLOOKUP(Tableau13[[#This Row],[Code]],'Code Véhicule'!$A$4:$C$185,2,0)),"",VLOOKUP(Tableau13[[#This Row],[Code]],'Code Véhicule'!$A$4:$C$185,2,0))</f>
        <v>Pick up</v>
      </c>
      <c r="D593" s="38" t="str">
        <f>IF(ISNA(VLOOKUP(Tableau13[[#This Row],[Code]],'Code Véhicule'!$A$4:$C$185,3,0)),"",VLOOKUP(Tableau13[[#This Row],[Code]],'Code Véhicule'!$A$4:$C$185,3,0))</f>
        <v>HYUNDAI H100</v>
      </c>
      <c r="E593" s="36" t="str">
        <f>IF(ISNA(VLOOKUP(Tableau13[[#This Row],[Code]],'Code Véhicule'!$A$4:$D$185,4,0))," ",VLOOKUP(Tableau13[[#This Row],[Code]],'Code Véhicule'!$A$4:$D$185,4,0))</f>
        <v>22368-A-73</v>
      </c>
      <c r="F593" s="36">
        <v>24619</v>
      </c>
      <c r="G593" s="38" t="s">
        <v>610</v>
      </c>
      <c r="H593" s="38" t="s">
        <v>1128</v>
      </c>
      <c r="I593" s="36" t="s">
        <v>304</v>
      </c>
      <c r="J593" s="39" t="s">
        <v>1129</v>
      </c>
      <c r="K593" s="36" t="s">
        <v>1130</v>
      </c>
      <c r="L593" s="40">
        <v>1140</v>
      </c>
      <c r="M593" s="40">
        <v>2850</v>
      </c>
      <c r="N593" s="41">
        <v>44319</v>
      </c>
      <c r="O593" s="45"/>
      <c r="P593" s="45"/>
      <c r="Q593" s="176" t="e">
        <f>MONTH([1]!Tableau13[[#This Row],[Date début]])</f>
        <v>#REF!</v>
      </c>
      <c r="R593" s="180" t="e">
        <f>YEAR([1]!Tableau13[[#This Row],[Date début]])</f>
        <v>#REF!</v>
      </c>
    </row>
    <row r="594" spans="1:18" ht="30" customHeight="1">
      <c r="A594" s="35">
        <v>44315</v>
      </c>
      <c r="B594" s="36">
        <v>445</v>
      </c>
      <c r="C594" s="37" t="str">
        <f>IF(ISNA(VLOOKUP(Tableau13[[#This Row],[Code]],'Code Véhicule'!$A$4:$C$185,2,0)),"",VLOOKUP(Tableau13[[#This Row],[Code]],'Code Véhicule'!$A$4:$C$185,2,0))</f>
        <v/>
      </c>
      <c r="D594" s="38" t="str">
        <f>IF(ISNA(VLOOKUP(Tableau13[[#This Row],[Code]],'Code Véhicule'!$A$4:$C$185,3,0)),"",VLOOKUP(Tableau13[[#This Row],[Code]],'Code Véhicule'!$A$4:$C$185,3,0))</f>
        <v/>
      </c>
      <c r="E594" s="36" t="str">
        <f>IF(ISNA(VLOOKUP(Tableau13[[#This Row],[Code]],'Code Véhicule'!$A$4:$D$185,4,0))," ",VLOOKUP(Tableau13[[#This Row],[Code]],'Code Véhicule'!$A$4:$D$185,4,0))</f>
        <v xml:space="preserve"> </v>
      </c>
      <c r="F594" s="36">
        <v>24645</v>
      </c>
      <c r="G594" s="38" t="s">
        <v>1146</v>
      </c>
      <c r="H594" s="38" t="s">
        <v>749</v>
      </c>
      <c r="I594" s="36" t="s">
        <v>304</v>
      </c>
      <c r="J594" s="39" t="s">
        <v>1153</v>
      </c>
      <c r="K594" s="36">
        <v>162322</v>
      </c>
      <c r="L594" s="40">
        <v>4560</v>
      </c>
      <c r="M594" s="40">
        <v>6840</v>
      </c>
      <c r="N594" s="41">
        <v>44355</v>
      </c>
      <c r="O594" s="45"/>
      <c r="P594" s="45"/>
      <c r="Q594" s="176" t="e">
        <f>MONTH([1]!Tableau13[[#This Row],[Date début]])</f>
        <v>#REF!</v>
      </c>
      <c r="R594" s="180" t="e">
        <f>YEAR([1]!Tableau13[[#This Row],[Date début]])</f>
        <v>#REF!</v>
      </c>
    </row>
    <row r="595" spans="1:18" ht="15.75" customHeight="1">
      <c r="A595" s="35">
        <v>44316</v>
      </c>
      <c r="B595" s="36">
        <v>434</v>
      </c>
      <c r="C595" s="37" t="str">
        <f>IF(ISNA(VLOOKUP(Tableau13[[#This Row],[Code]],'Code Véhicule'!$A$4:$C$185,2,0)),"",VLOOKUP(Tableau13[[#This Row],[Code]],'Code Véhicule'!$A$4:$C$185,2,0))</f>
        <v>Chariot elevateur</v>
      </c>
      <c r="D595" s="38" t="str">
        <f>IF(ISNA(VLOOKUP(Tableau13[[#This Row],[Code]],'Code Véhicule'!$A$4:$C$185,3,0)),"",VLOOKUP(Tableau13[[#This Row],[Code]],'Code Véhicule'!$A$4:$C$185,3,0))</f>
        <v>Linde H30D</v>
      </c>
      <c r="E595" s="36" t="str">
        <f>IF(ISNA(VLOOKUP(Tableau13[[#This Row],[Code]],'Code Véhicule'!$A$4:$D$185,4,0))," ",VLOOKUP(Tableau13[[#This Row],[Code]],'Code Véhicule'!$A$4:$D$185,4,0))</f>
        <v>-</v>
      </c>
      <c r="F595" s="36">
        <v>24622</v>
      </c>
      <c r="G595" s="38" t="s">
        <v>393</v>
      </c>
      <c r="H595" s="38" t="s">
        <v>896</v>
      </c>
      <c r="I595" s="36" t="s">
        <v>302</v>
      </c>
      <c r="J595" s="39" t="s">
        <v>1135</v>
      </c>
      <c r="K595" s="36">
        <v>162219</v>
      </c>
      <c r="L595" s="40">
        <v>60</v>
      </c>
      <c r="M595" s="40">
        <v>60</v>
      </c>
      <c r="N595" s="41">
        <v>44316</v>
      </c>
      <c r="O595" s="45"/>
      <c r="P595" s="45"/>
      <c r="Q595" s="176" t="e">
        <f>MONTH([1]!Tableau13[[#This Row],[Date début]])</f>
        <v>#REF!</v>
      </c>
      <c r="R595" s="180" t="e">
        <f>YEAR([1]!Tableau13[[#This Row],[Date début]])</f>
        <v>#REF!</v>
      </c>
    </row>
    <row r="596" spans="1:18" ht="15.75" customHeight="1">
      <c r="A596" s="35">
        <v>44316</v>
      </c>
      <c r="B596" s="36">
        <v>481</v>
      </c>
      <c r="C596" s="37" t="str">
        <f>IF(ISNA(VLOOKUP(Tableau13[[#This Row],[Code]],'Code Véhicule'!$A$4:$C$185,2,0)),"",VLOOKUP(Tableau13[[#This Row],[Code]],'Code Véhicule'!$A$4:$C$185,2,0))</f>
        <v>Camion</v>
      </c>
      <c r="D596" s="38" t="str">
        <f>IF(ISNA(VLOOKUP(Tableau13[[#This Row],[Code]],'Code Véhicule'!$A$4:$C$185,3,0)),"",VLOOKUP(Tableau13[[#This Row],[Code]],'Code Véhicule'!$A$4:$C$185,3,0))</f>
        <v>VOLVO</v>
      </c>
      <c r="E596" s="36" t="str">
        <f>IF(ISNA(VLOOKUP(Tableau13[[#This Row],[Code]],'Code Véhicule'!$A$4:$D$185,4,0))," ",VLOOKUP(Tableau13[[#This Row],[Code]],'Code Véhicule'!$A$4:$D$185,4,0))</f>
        <v>22300-A-73</v>
      </c>
      <c r="F596" s="36">
        <v>24625</v>
      </c>
      <c r="G596" s="38" t="s">
        <v>545</v>
      </c>
      <c r="H596" s="38" t="s">
        <v>1136</v>
      </c>
      <c r="I596" s="36" t="s">
        <v>304</v>
      </c>
      <c r="J596" s="39" t="s">
        <v>1137</v>
      </c>
      <c r="K596" s="36">
        <v>164248</v>
      </c>
      <c r="L596" s="40">
        <v>360</v>
      </c>
      <c r="M596" s="40">
        <v>360</v>
      </c>
      <c r="N596" s="41">
        <v>44316</v>
      </c>
      <c r="O596" s="45"/>
      <c r="P596" s="45"/>
      <c r="Q596" s="176" t="e">
        <f>MONTH([1]!Tableau13[[#This Row],[Date début]])</f>
        <v>#REF!</v>
      </c>
      <c r="R596" s="180" t="e">
        <f>YEAR([1]!Tableau13[[#This Row],[Date début]])</f>
        <v>#REF!</v>
      </c>
    </row>
    <row r="597" spans="1:18" ht="45" customHeight="1">
      <c r="A597" s="35">
        <v>44319</v>
      </c>
      <c r="B597" s="36">
        <v>436</v>
      </c>
      <c r="C597" s="37" t="str">
        <f>IF(ISNA(VLOOKUP(Tableau13[[#This Row],[Code]],'Code Véhicule'!$A$4:$C$185,2,0)),"",VLOOKUP(Tableau13[[#This Row],[Code]],'Code Véhicule'!$A$4:$C$185,2,0))</f>
        <v>Camion</v>
      </c>
      <c r="D597" s="38" t="str">
        <f>IF(ISNA(VLOOKUP(Tableau13[[#This Row],[Code]],'Code Véhicule'!$A$4:$C$185,3,0)),"",VLOOKUP(Tableau13[[#This Row],[Code]],'Code Véhicule'!$A$4:$C$185,3,0))</f>
        <v>Mitsubishi</v>
      </c>
      <c r="E597" s="36" t="str">
        <f>IF(ISNA(VLOOKUP(Tableau13[[#This Row],[Code]],'Code Véhicule'!$A$4:$D$185,4,0))," ",VLOOKUP(Tableau13[[#This Row],[Code]],'Code Véhicule'!$A$4:$D$185,4,0))</f>
        <v>11470-A-73</v>
      </c>
      <c r="F597" s="36">
        <v>24620</v>
      </c>
      <c r="G597" s="38" t="s">
        <v>493</v>
      </c>
      <c r="H597" s="38" t="s">
        <v>601</v>
      </c>
      <c r="I597" s="36" t="s">
        <v>304</v>
      </c>
      <c r="J597" s="39" t="s">
        <v>1131</v>
      </c>
      <c r="K597" s="36" t="s">
        <v>1132</v>
      </c>
      <c r="L597" s="40">
        <v>300</v>
      </c>
      <c r="M597" s="40">
        <v>300</v>
      </c>
      <c r="N597" s="41">
        <v>44320</v>
      </c>
      <c r="O597" s="45"/>
      <c r="P597" s="45"/>
      <c r="Q597" s="176" t="e">
        <f>MONTH([1]!Tableau13[[#This Row],[Date début]])</f>
        <v>#REF!</v>
      </c>
      <c r="R597" s="180" t="e">
        <f>YEAR([1]!Tableau13[[#This Row],[Date début]])</f>
        <v>#REF!</v>
      </c>
    </row>
    <row r="598" spans="1:18" ht="15.75" customHeight="1">
      <c r="A598" s="35">
        <v>44321</v>
      </c>
      <c r="B598" s="36">
        <v>436</v>
      </c>
      <c r="C598" s="37" t="str">
        <f>IF(ISNA(VLOOKUP(Tableau13[[#This Row],[Code]],'Code Véhicule'!$A$4:$C$185,2,0)),"",VLOOKUP(Tableau13[[#This Row],[Code]],'Code Véhicule'!$A$4:$C$185,2,0))</f>
        <v>Camion</v>
      </c>
      <c r="D598" s="38" t="str">
        <f>IF(ISNA(VLOOKUP(Tableau13[[#This Row],[Code]],'Code Véhicule'!$A$4:$C$185,3,0)),"",VLOOKUP(Tableau13[[#This Row],[Code]],'Code Véhicule'!$A$4:$C$185,3,0))</f>
        <v>Mitsubishi</v>
      </c>
      <c r="E598" s="36" t="str">
        <f>IF(ISNA(VLOOKUP(Tableau13[[#This Row],[Code]],'Code Véhicule'!$A$4:$D$185,4,0))," ",VLOOKUP(Tableau13[[#This Row],[Code]],'Code Véhicule'!$A$4:$D$185,4,0))</f>
        <v>11470-A-73</v>
      </c>
      <c r="F598" s="36">
        <v>24623</v>
      </c>
      <c r="G598" s="38" t="s">
        <v>560</v>
      </c>
      <c r="H598" s="38" t="s">
        <v>604</v>
      </c>
      <c r="I598" s="36" t="s">
        <v>304</v>
      </c>
      <c r="J598" s="39" t="s">
        <v>372</v>
      </c>
      <c r="K598" s="36">
        <v>1622239</v>
      </c>
      <c r="L598" s="40">
        <v>180</v>
      </c>
      <c r="M598" s="40">
        <v>180</v>
      </c>
      <c r="N598" s="41">
        <v>44321</v>
      </c>
      <c r="O598" s="45"/>
      <c r="P598" s="45"/>
      <c r="Q598" s="176" t="e">
        <f>MONTH([1]!Tableau13[[#This Row],[Date début]])</f>
        <v>#REF!</v>
      </c>
      <c r="R598" s="180" t="e">
        <f>YEAR([1]!Tableau13[[#This Row],[Date début]])</f>
        <v>#REF!</v>
      </c>
    </row>
    <row r="599" spans="1:18" ht="45" customHeight="1">
      <c r="A599" s="35">
        <v>44322</v>
      </c>
      <c r="B599" s="36">
        <v>411</v>
      </c>
      <c r="C599" s="37" t="str">
        <f>IF(ISNA(VLOOKUP(Tableau13[[#This Row],[Code]],'Code Véhicule'!$A$4:$C$185,2,0)),"",VLOOKUP(Tableau13[[#This Row],[Code]],'Code Véhicule'!$A$4:$C$185,2,0))</f>
        <v>Camion</v>
      </c>
      <c r="D599" s="38" t="str">
        <f>IF(ISNA(VLOOKUP(Tableau13[[#This Row],[Code]],'Code Véhicule'!$A$4:$C$185,3,0)),"",VLOOKUP(Tableau13[[#This Row],[Code]],'Code Véhicule'!$A$4:$C$185,3,0))</f>
        <v>Renault</v>
      </c>
      <c r="E599" s="36" t="str">
        <f>IF(ISNA(VLOOKUP(Tableau13[[#This Row],[Code]],'Code Véhicule'!$A$4:$D$185,4,0))," ",VLOOKUP(Tableau13[[#This Row],[Code]],'Code Véhicule'!$A$4:$D$185,4,0))</f>
        <v>25636-A-13</v>
      </c>
      <c r="F599" s="36">
        <v>24629</v>
      </c>
      <c r="G599" s="38" t="s">
        <v>393</v>
      </c>
      <c r="H599" s="38" t="s">
        <v>608</v>
      </c>
      <c r="I599" s="36" t="s">
        <v>304</v>
      </c>
      <c r="J599" s="39" t="s">
        <v>1141</v>
      </c>
      <c r="K599" s="36">
        <v>162243</v>
      </c>
      <c r="L599" s="40">
        <v>120</v>
      </c>
      <c r="M599" s="40">
        <v>120</v>
      </c>
      <c r="N599" s="41">
        <v>44322</v>
      </c>
      <c r="O599" s="45"/>
      <c r="P599" s="45"/>
      <c r="Q599" s="176" t="e">
        <f>MONTH([1]!Tableau13[[#This Row],[Date début]])</f>
        <v>#REF!</v>
      </c>
      <c r="R599" s="180" t="e">
        <f>YEAR([1]!Tableau13[[#This Row],[Date début]])</f>
        <v>#REF!</v>
      </c>
    </row>
    <row r="600" spans="1:18" ht="15.75" customHeight="1">
      <c r="A600" s="35">
        <v>44322</v>
      </c>
      <c r="B600" s="36">
        <v>481</v>
      </c>
      <c r="C600" s="37" t="str">
        <f>IF(ISNA(VLOOKUP(Tableau13[[#This Row],[Code]],'Code Véhicule'!$A$4:$C$185,2,0)),"",VLOOKUP(Tableau13[[#This Row],[Code]],'Code Véhicule'!$A$4:$C$185,2,0))</f>
        <v>Camion</v>
      </c>
      <c r="D600" s="38" t="str">
        <f>IF(ISNA(VLOOKUP(Tableau13[[#This Row],[Code]],'Code Véhicule'!$A$4:$C$185,3,0)),"",VLOOKUP(Tableau13[[#This Row],[Code]],'Code Véhicule'!$A$4:$C$185,3,0))</f>
        <v>VOLVO</v>
      </c>
      <c r="E600" s="36" t="str">
        <f>IF(ISNA(VLOOKUP(Tableau13[[#This Row],[Code]],'Code Véhicule'!$A$4:$D$185,4,0))," ",VLOOKUP(Tableau13[[#This Row],[Code]],'Code Véhicule'!$A$4:$D$185,4,0))</f>
        <v>22300-A-73</v>
      </c>
      <c r="F600" s="36">
        <v>24624</v>
      </c>
      <c r="G600" s="38" t="s">
        <v>560</v>
      </c>
      <c r="H600" s="38" t="s">
        <v>604</v>
      </c>
      <c r="I600" s="36" t="s">
        <v>304</v>
      </c>
      <c r="J600" s="39" t="s">
        <v>372</v>
      </c>
      <c r="K600" s="36">
        <v>162242</v>
      </c>
      <c r="L600" s="40">
        <v>60</v>
      </c>
      <c r="M600" s="40">
        <v>60</v>
      </c>
      <c r="N600" s="41">
        <v>44322</v>
      </c>
      <c r="O600" s="45"/>
      <c r="P600" s="45"/>
      <c r="Q600" s="176" t="e">
        <f>MONTH([1]!Tableau13[[#This Row],[Date début]])</f>
        <v>#REF!</v>
      </c>
      <c r="R600" s="180" t="e">
        <f>YEAR([1]!Tableau13[[#This Row],[Date début]])</f>
        <v>#REF!</v>
      </c>
    </row>
    <row r="601" spans="1:18" ht="45" customHeight="1">
      <c r="A601" s="35">
        <v>44322</v>
      </c>
      <c r="B601" s="36">
        <v>407</v>
      </c>
      <c r="C601" s="37" t="str">
        <f>IF(ISNA(VLOOKUP(Tableau13[[#This Row],[Code]],'Code Véhicule'!$A$4:$C$185,2,0)),"",VLOOKUP(Tableau13[[#This Row],[Code]],'Code Véhicule'!$A$4:$C$185,2,0))</f>
        <v>Semi remorque</v>
      </c>
      <c r="D601" s="38" t="str">
        <f>IF(ISNA(VLOOKUP(Tableau13[[#This Row],[Code]],'Code Véhicule'!$A$4:$C$185,3,0)),"",VLOOKUP(Tableau13[[#This Row],[Code]],'Code Véhicule'!$A$4:$C$185,3,0))</f>
        <v>MAN</v>
      </c>
      <c r="E601" s="36" t="str">
        <f>IF(ISNA(VLOOKUP(Tableau13[[#This Row],[Code]],'Code Véhicule'!$A$4:$D$185,4,0))," ",VLOOKUP(Tableau13[[#This Row],[Code]],'Code Véhicule'!$A$4:$D$185,4,0))</f>
        <v>706-A-73</v>
      </c>
      <c r="F601" s="36">
        <v>24627</v>
      </c>
      <c r="G601" s="38" t="s">
        <v>511</v>
      </c>
      <c r="H601" s="38" t="s">
        <v>687</v>
      </c>
      <c r="I601" s="36" t="s">
        <v>304</v>
      </c>
      <c r="J601" s="39" t="s">
        <v>1139</v>
      </c>
      <c r="K601" s="36" t="s">
        <v>1140</v>
      </c>
      <c r="L601" s="40">
        <v>1140</v>
      </c>
      <c r="M601" s="40">
        <v>2800</v>
      </c>
      <c r="N601" s="41">
        <v>44327</v>
      </c>
      <c r="O601" s="45"/>
      <c r="P601" s="45"/>
      <c r="Q601" s="176" t="e">
        <f>MONTH([1]!Tableau13[[#This Row],[Date début]])</f>
        <v>#REF!</v>
      </c>
      <c r="R601" s="180" t="e">
        <f>YEAR([1]!Tableau13[[#This Row],[Date début]])</f>
        <v>#REF!</v>
      </c>
    </row>
    <row r="602" spans="1:18">
      <c r="A602" s="35">
        <v>44323</v>
      </c>
      <c r="B602" s="36">
        <v>471</v>
      </c>
      <c r="C602" s="37" t="str">
        <f>IF(ISNA(VLOOKUP(Tableau13[[#This Row],[Code]],'Code Véhicule'!$A$4:$C$185,2,0)),"",VLOOKUP(Tableau13[[#This Row],[Code]],'Code Véhicule'!$A$4:$C$185,2,0))</f>
        <v>Bus de transport</v>
      </c>
      <c r="D602" s="38" t="str">
        <f>IF(ISNA(VLOOKUP(Tableau13[[#This Row],[Code]],'Code Véhicule'!$A$4:$C$185,3,0)),"",VLOOKUP(Tableau13[[#This Row],[Code]],'Code Véhicule'!$A$4:$C$185,3,0))</f>
        <v xml:space="preserve">Hyundai County </v>
      </c>
      <c r="E602" s="36" t="str">
        <f>IF(ISNA(VLOOKUP(Tableau13[[#This Row],[Code]],'Code Véhicule'!$A$4:$D$185,4,0))," ",VLOOKUP(Tableau13[[#This Row],[Code]],'Code Véhicule'!$A$4:$D$185,4,0))</f>
        <v>18516-A-73</v>
      </c>
      <c r="F602" s="36">
        <v>24630</v>
      </c>
      <c r="G602" s="38" t="s">
        <v>560</v>
      </c>
      <c r="H602" s="38" t="s">
        <v>604</v>
      </c>
      <c r="I602" s="36" t="s">
        <v>304</v>
      </c>
      <c r="J602" s="39" t="s">
        <v>1142</v>
      </c>
      <c r="K602" s="36">
        <v>162247</v>
      </c>
      <c r="L602" s="40">
        <v>120</v>
      </c>
      <c r="M602" s="40">
        <v>120</v>
      </c>
      <c r="N602" s="41">
        <v>44323</v>
      </c>
      <c r="O602" s="45"/>
      <c r="P602" s="45"/>
      <c r="Q602" s="176" t="e">
        <f>MONTH([1]!Tableau13[[#This Row],[Date début]])</f>
        <v>#REF!</v>
      </c>
      <c r="R602" s="180" t="e">
        <f>YEAR([1]!Tableau13[[#This Row],[Date début]])</f>
        <v>#REF!</v>
      </c>
    </row>
    <row r="603" spans="1:18" ht="225" customHeight="1">
      <c r="A603" s="35">
        <v>44326</v>
      </c>
      <c r="B603" s="36">
        <v>435</v>
      </c>
      <c r="C603" s="37" t="str">
        <f>IF(ISNA(VLOOKUP(Tableau13[[#This Row],[Code]],'Code Véhicule'!$A$4:$C$185,2,0)),"",VLOOKUP(Tableau13[[#This Row],[Code]],'Code Véhicule'!$A$4:$C$185,2,0))</f>
        <v>Camion</v>
      </c>
      <c r="D603" s="38" t="str">
        <f>IF(ISNA(VLOOKUP(Tableau13[[#This Row],[Code]],'Code Véhicule'!$A$4:$C$185,3,0)),"",VLOOKUP(Tableau13[[#This Row],[Code]],'Code Véhicule'!$A$4:$C$185,3,0))</f>
        <v>Mitsubishi</v>
      </c>
      <c r="E603" s="36" t="str">
        <f>IF(ISNA(VLOOKUP(Tableau13[[#This Row],[Code]],'Code Véhicule'!$A$4:$D$185,4,0))," ",VLOOKUP(Tableau13[[#This Row],[Code]],'Code Véhicule'!$A$4:$D$185,4,0))</f>
        <v xml:space="preserve"> 11469-A-73</v>
      </c>
      <c r="F603" s="36">
        <v>24650</v>
      </c>
      <c r="G603" s="38" t="s">
        <v>399</v>
      </c>
      <c r="H603" s="38" t="s">
        <v>1149</v>
      </c>
      <c r="I603" s="36" t="s">
        <v>304</v>
      </c>
      <c r="J603" s="39" t="s">
        <v>1175</v>
      </c>
      <c r="K603" s="41" t="s">
        <v>1159</v>
      </c>
      <c r="L603" s="40">
        <v>9600</v>
      </c>
      <c r="M603" s="40">
        <v>14800</v>
      </c>
      <c r="N603" s="41">
        <v>44359</v>
      </c>
      <c r="O603" s="45"/>
      <c r="P603" s="45"/>
      <c r="Q603" s="176" t="e">
        <f>MONTH([1]!Tableau13[[#This Row],[Date début]])</f>
        <v>#REF!</v>
      </c>
      <c r="R603" s="180" t="e">
        <f>YEAR([1]!Tableau13[[#This Row],[Date début]])</f>
        <v>#REF!</v>
      </c>
    </row>
    <row r="604" spans="1:18" ht="30" customHeight="1">
      <c r="A604" s="35">
        <v>44327</v>
      </c>
      <c r="B604" s="36">
        <v>434</v>
      </c>
      <c r="C604" s="37" t="str">
        <f>IF(ISNA(VLOOKUP(Tableau13[[#This Row],[Code]],'Code Véhicule'!$A$4:$C$185,2,0)),"",VLOOKUP(Tableau13[[#This Row],[Code]],'Code Véhicule'!$A$4:$C$185,2,0))</f>
        <v>Chariot elevateur</v>
      </c>
      <c r="D604" s="38" t="str">
        <f>IF(ISNA(VLOOKUP(Tableau13[[#This Row],[Code]],'Code Véhicule'!$A$4:$C$185,3,0)),"",VLOOKUP(Tableau13[[#This Row],[Code]],'Code Véhicule'!$A$4:$C$185,3,0))</f>
        <v>Linde H30D</v>
      </c>
      <c r="E604" s="36" t="str">
        <f>IF(ISNA(VLOOKUP(Tableau13[[#This Row],[Code]],'Code Véhicule'!$A$4:$D$185,4,0))," ",VLOOKUP(Tableau13[[#This Row],[Code]],'Code Véhicule'!$A$4:$D$185,4,0))</f>
        <v>-</v>
      </c>
      <c r="F604" s="36">
        <v>23269</v>
      </c>
      <c r="G604" s="38" t="s">
        <v>511</v>
      </c>
      <c r="H604" s="38" t="s">
        <v>1249</v>
      </c>
      <c r="I604" s="36" t="s">
        <v>304</v>
      </c>
      <c r="J604" s="39" t="s">
        <v>656</v>
      </c>
      <c r="K604" s="36">
        <v>147744</v>
      </c>
      <c r="L604" s="40">
        <v>570</v>
      </c>
      <c r="M604" s="36">
        <v>570</v>
      </c>
      <c r="N604" s="41">
        <v>43963</v>
      </c>
      <c r="O604" s="38"/>
      <c r="P604" s="38"/>
      <c r="Q604" s="176" t="e">
        <f>MONTH([1]!Tableau13[[#This Row],[Date début]])</f>
        <v>#REF!</v>
      </c>
      <c r="R604" s="180" t="e">
        <f>YEAR([1]!Tableau13[[#This Row],[Date début]])</f>
        <v>#REF!</v>
      </c>
    </row>
    <row r="605" spans="1:18" ht="45" customHeight="1">
      <c r="A605" s="35">
        <v>44333</v>
      </c>
      <c r="B605" s="36">
        <v>480</v>
      </c>
      <c r="C605" s="37" t="str">
        <f>IF(ISNA(VLOOKUP(Tableau13[[#This Row],[Code]],'Code Véhicule'!$A$4:$C$185,2,0)),"",VLOOKUP(Tableau13[[#This Row],[Code]],'Code Véhicule'!$A$4:$C$185,2,0))</f>
        <v>Camion</v>
      </c>
      <c r="D605" s="38" t="str">
        <f>IF(ISNA(VLOOKUP(Tableau13[[#This Row],[Code]],'Code Véhicule'!$A$4:$C$185,3,0)),"",VLOOKUP(Tableau13[[#This Row],[Code]],'Code Véhicule'!$A$4:$C$185,3,0))</f>
        <v>VOLVO</v>
      </c>
      <c r="E605" s="36" t="str">
        <f>IF(ISNA(VLOOKUP(Tableau13[[#This Row],[Code]],'Code Véhicule'!$A$4:$D$185,4,0))," ",VLOOKUP(Tableau13[[#This Row],[Code]],'Code Véhicule'!$A$4:$D$185,4,0))</f>
        <v>22299-A-73</v>
      </c>
      <c r="F605" s="36">
        <v>24624</v>
      </c>
      <c r="G605" s="38" t="s">
        <v>393</v>
      </c>
      <c r="H605" s="38" t="s">
        <v>1087</v>
      </c>
      <c r="I605" s="36" t="s">
        <v>304</v>
      </c>
      <c r="J605" s="39" t="s">
        <v>1138</v>
      </c>
      <c r="K605" s="36"/>
      <c r="L605" s="40">
        <v>570</v>
      </c>
      <c r="M605" s="40">
        <v>570</v>
      </c>
      <c r="N605" s="41">
        <v>44333</v>
      </c>
      <c r="O605" s="45"/>
      <c r="P605" s="45"/>
      <c r="Q605" s="176" t="e">
        <f>MONTH([1]!Tableau13[[#This Row],[Date début]])</f>
        <v>#REF!</v>
      </c>
      <c r="R605" s="180" t="e">
        <f>YEAR([1]!Tableau13[[#This Row],[Date début]])</f>
        <v>#REF!</v>
      </c>
    </row>
    <row r="606" spans="1:18" ht="30" customHeight="1">
      <c r="A606" s="35">
        <v>44333</v>
      </c>
      <c r="B606" s="36">
        <v>401</v>
      </c>
      <c r="C606" s="37" t="str">
        <f>IF(ISNA(VLOOKUP(Tableau13[[#This Row],[Code]],'Code Véhicule'!$A$4:$C$185,2,0)),"",VLOOKUP(Tableau13[[#This Row],[Code]],'Code Véhicule'!$A$4:$C$185,2,0))</f>
        <v>Camion</v>
      </c>
      <c r="D606" s="38" t="str">
        <f>IF(ISNA(VLOOKUP(Tableau13[[#This Row],[Code]],'Code Véhicule'!$A$4:$C$185,3,0)),"",VLOOKUP(Tableau13[[#This Row],[Code]],'Code Véhicule'!$A$4:$C$185,3,0))</f>
        <v>ISUZU</v>
      </c>
      <c r="E606" s="36" t="str">
        <f>IF(ISNA(VLOOKUP(Tableau13[[#This Row],[Code]],'Code Véhicule'!$A$4:$D$185,4,0))," ",VLOOKUP(Tableau13[[#This Row],[Code]],'Code Véhicule'!$A$4:$D$185,4,0))</f>
        <v>26128-A-8</v>
      </c>
      <c r="F606" s="36">
        <v>24632</v>
      </c>
      <c r="G606" s="38" t="s">
        <v>537</v>
      </c>
      <c r="H606" s="38" t="s">
        <v>1017</v>
      </c>
      <c r="I606" s="36" t="s">
        <v>304</v>
      </c>
      <c r="J606" s="39" t="s">
        <v>1143</v>
      </c>
      <c r="K606" s="36" t="s">
        <v>1144</v>
      </c>
      <c r="L606" s="40">
        <v>1140</v>
      </c>
      <c r="M606" s="40">
        <v>2280</v>
      </c>
      <c r="N606" s="41">
        <v>44337</v>
      </c>
      <c r="O606" s="45"/>
      <c r="P606" s="45"/>
      <c r="Q606" s="176" t="e">
        <f>MONTH([1]!Tableau13[[#This Row],[Date début]])</f>
        <v>#REF!</v>
      </c>
      <c r="R606" s="180" t="e">
        <f>YEAR([1]!Tableau13[[#This Row],[Date début]])</f>
        <v>#REF!</v>
      </c>
    </row>
    <row r="607" spans="1:18" ht="90" customHeight="1">
      <c r="A607" s="35">
        <v>44333</v>
      </c>
      <c r="B607" s="36">
        <v>407</v>
      </c>
      <c r="C607" s="37" t="str">
        <f>IF(ISNA(VLOOKUP(Tableau13[[#This Row],[Code]],'Code Véhicule'!$A$4:$C$185,2,0)),"",VLOOKUP(Tableau13[[#This Row],[Code]],'Code Véhicule'!$A$4:$C$185,2,0))</f>
        <v>Semi remorque</v>
      </c>
      <c r="D607" s="38" t="str">
        <f>IF(ISNA(VLOOKUP(Tableau13[[#This Row],[Code]],'Code Véhicule'!$A$4:$C$185,3,0)),"",VLOOKUP(Tableau13[[#This Row],[Code]],'Code Véhicule'!$A$4:$C$185,3,0))</f>
        <v>MAN</v>
      </c>
      <c r="E607" s="36" t="str">
        <f>IF(ISNA(VLOOKUP(Tableau13[[#This Row],[Code]],'Code Véhicule'!$A$4:$D$185,4,0))," ",VLOOKUP(Tableau13[[#This Row],[Code]],'Code Véhicule'!$A$4:$D$185,4,0))</f>
        <v>706-A-73</v>
      </c>
      <c r="F607" s="36">
        <v>24633</v>
      </c>
      <c r="G607" s="38" t="s">
        <v>542</v>
      </c>
      <c r="H607" s="38" t="s">
        <v>1145</v>
      </c>
      <c r="I607" s="36" t="s">
        <v>304</v>
      </c>
      <c r="J607" s="39" t="s">
        <v>1157</v>
      </c>
      <c r="K607" s="36" t="s">
        <v>1158</v>
      </c>
      <c r="L607" s="40">
        <v>5700</v>
      </c>
      <c r="M607" s="40">
        <v>10260</v>
      </c>
      <c r="N607" s="41">
        <v>44359</v>
      </c>
      <c r="O607" s="45"/>
      <c r="P607" s="45"/>
      <c r="Q607" s="176" t="e">
        <f>MONTH([1]!Tableau13[[#This Row],[Date début]])</f>
        <v>#REF!</v>
      </c>
      <c r="R607" s="180" t="e">
        <f>YEAR([1]!Tableau13[[#This Row],[Date début]])</f>
        <v>#REF!</v>
      </c>
    </row>
    <row r="608" spans="1:18" ht="45" customHeight="1">
      <c r="A608" s="35">
        <v>44334</v>
      </c>
      <c r="B608" s="36">
        <v>481</v>
      </c>
      <c r="C608" s="37" t="str">
        <f>IF(ISNA(VLOOKUP(Tableau13[[#This Row],[Code]],'Code Véhicule'!$A$4:$C$185,2,0)),"",VLOOKUP(Tableau13[[#This Row],[Code]],'Code Véhicule'!$A$4:$C$185,2,0))</f>
        <v>Camion</v>
      </c>
      <c r="D608" s="38" t="str">
        <f>IF(ISNA(VLOOKUP(Tableau13[[#This Row],[Code]],'Code Véhicule'!$A$4:$C$185,3,0)),"",VLOOKUP(Tableau13[[#This Row],[Code]],'Code Véhicule'!$A$4:$C$185,3,0))</f>
        <v>VOLVO</v>
      </c>
      <c r="E608" s="36" t="str">
        <f>IF(ISNA(VLOOKUP(Tableau13[[#This Row],[Code]],'Code Véhicule'!$A$4:$D$185,4,0))," ",VLOOKUP(Tableau13[[#This Row],[Code]],'Code Véhicule'!$A$4:$D$185,4,0))</f>
        <v>22300-A-73</v>
      </c>
      <c r="F608" s="36">
        <v>24628</v>
      </c>
      <c r="G608" s="38" t="s">
        <v>393</v>
      </c>
      <c r="H608" s="38" t="s">
        <v>1087</v>
      </c>
      <c r="I608" s="36" t="s">
        <v>304</v>
      </c>
      <c r="J608" s="39" t="s">
        <v>1138</v>
      </c>
      <c r="K608" s="36"/>
      <c r="L608" s="40">
        <v>570</v>
      </c>
      <c r="M608" s="40">
        <v>570</v>
      </c>
      <c r="N608" s="41">
        <v>44335</v>
      </c>
      <c r="O608" s="45"/>
      <c r="P608" s="45"/>
      <c r="Q608" s="176" t="e">
        <f>MONTH([1]!Tableau13[[#This Row],[Date début]])</f>
        <v>#REF!</v>
      </c>
      <c r="R608" s="180" t="e">
        <f>YEAR([1]!Tableau13[[#This Row],[Date début]])</f>
        <v>#REF!</v>
      </c>
    </row>
    <row r="609" spans="1:20" ht="15.75" customHeight="1">
      <c r="A609" s="35">
        <v>44334</v>
      </c>
      <c r="B609" s="36">
        <v>411</v>
      </c>
      <c r="C609" s="37" t="str">
        <f>IF(ISNA(VLOOKUP(Tableau13[[#This Row],[Code]],'Code Véhicule'!$A$4:$C$185,2,0)),"",VLOOKUP(Tableau13[[#This Row],[Code]],'Code Véhicule'!$A$4:$C$185,2,0))</f>
        <v>Camion</v>
      </c>
      <c r="D609" s="38" t="str">
        <f>IF(ISNA(VLOOKUP(Tableau13[[#This Row],[Code]],'Code Véhicule'!$A$4:$C$185,3,0)),"",VLOOKUP(Tableau13[[#This Row],[Code]],'Code Véhicule'!$A$4:$C$185,3,0))</f>
        <v>Renault</v>
      </c>
      <c r="E609" s="36" t="str">
        <f>IF(ISNA(VLOOKUP(Tableau13[[#This Row],[Code]],'Code Véhicule'!$A$4:$D$185,4,0))," ",VLOOKUP(Tableau13[[#This Row],[Code]],'Code Véhicule'!$A$4:$D$185,4,0))</f>
        <v>25636-A-13</v>
      </c>
      <c r="F609" s="36">
        <v>24636</v>
      </c>
      <c r="G609" s="38" t="s">
        <v>560</v>
      </c>
      <c r="H609" s="38" t="s">
        <v>604</v>
      </c>
      <c r="I609" s="36" t="s">
        <v>304</v>
      </c>
      <c r="J609" s="39" t="s">
        <v>372</v>
      </c>
      <c r="K609" s="36">
        <v>1622620</v>
      </c>
      <c r="L609" s="40">
        <v>120</v>
      </c>
      <c r="M609" s="40">
        <v>120</v>
      </c>
      <c r="N609" s="41">
        <v>44334</v>
      </c>
      <c r="O609" s="45"/>
      <c r="P609" s="45"/>
      <c r="Q609" s="176" t="e">
        <f>MONTH([1]!Tableau13[[#This Row],[Date début]])</f>
        <v>#REF!</v>
      </c>
      <c r="R609" s="180" t="e">
        <f>YEAR([1]!Tableau13[[#This Row],[Date début]])</f>
        <v>#REF!</v>
      </c>
    </row>
    <row r="610" spans="1:20" ht="75" customHeight="1">
      <c r="A610" s="35">
        <v>44334</v>
      </c>
      <c r="B610" s="36">
        <v>413</v>
      </c>
      <c r="C610" s="37" t="str">
        <f>IF(ISNA(VLOOKUP(Tableau13[[#This Row],[Code]],'Code Véhicule'!$A$4:$C$185,2,0)),"",VLOOKUP(Tableau13[[#This Row],[Code]],'Code Véhicule'!$A$4:$C$185,2,0))</f>
        <v>Chargeur</v>
      </c>
      <c r="D610" s="38" t="str">
        <f>IF(ISNA(VLOOKUP(Tableau13[[#This Row],[Code]],'Code Véhicule'!$A$4:$C$185,3,0)),"",VLOOKUP(Tableau13[[#This Row],[Code]],'Code Véhicule'!$A$4:$C$185,3,0))</f>
        <v>Caterpillar</v>
      </c>
      <c r="E610" s="36" t="str">
        <f>IF(ISNA(VLOOKUP(Tableau13[[#This Row],[Code]],'Code Véhicule'!$A$4:$D$185,4,0))," ",VLOOKUP(Tableau13[[#This Row],[Code]],'Code Véhicule'!$A$4:$D$185,4,0))</f>
        <v>-</v>
      </c>
      <c r="F610" s="36">
        <v>24637</v>
      </c>
      <c r="G610" s="38" t="s">
        <v>1150</v>
      </c>
      <c r="H610" s="38" t="s">
        <v>1151</v>
      </c>
      <c r="I610" s="36" t="s">
        <v>304</v>
      </c>
      <c r="J610" s="39" t="s">
        <v>1218</v>
      </c>
      <c r="K610" s="36">
        <v>162621</v>
      </c>
      <c r="L610" s="40">
        <v>570</v>
      </c>
      <c r="M610" s="40">
        <v>570</v>
      </c>
      <c r="N610" s="41">
        <v>44334</v>
      </c>
      <c r="O610" s="45"/>
      <c r="P610" s="45"/>
      <c r="Q610" s="176" t="e">
        <f>MONTH([1]!Tableau13[[#This Row],[Date début]])</f>
        <v>#REF!</v>
      </c>
      <c r="R610" s="180" t="e">
        <f>YEAR([1]!Tableau13[[#This Row],[Date début]])</f>
        <v>#REF!</v>
      </c>
    </row>
    <row r="611" spans="1:20" ht="30" customHeight="1">
      <c r="A611" s="35">
        <v>44335</v>
      </c>
      <c r="B611" s="36">
        <v>427</v>
      </c>
      <c r="C611" s="37" t="str">
        <f>IF(ISNA(VLOOKUP(Tableau13[[#This Row],[Code]],'Code Véhicule'!$A$4:$C$185,2,0)),"",VLOOKUP(Tableau13[[#This Row],[Code]],'Code Véhicule'!$A$4:$C$185,2,0))</f>
        <v>Chariot elevateur</v>
      </c>
      <c r="D611" s="38" t="str">
        <f>IF(ISNA(VLOOKUP(Tableau13[[#This Row],[Code]],'Code Véhicule'!$A$4:$C$185,3,0)),"",VLOOKUP(Tableau13[[#This Row],[Code]],'Code Véhicule'!$A$4:$C$185,3,0))</f>
        <v>Linde H30</v>
      </c>
      <c r="E611" s="36" t="str">
        <f>IF(ISNA(VLOOKUP(Tableau13[[#This Row],[Code]],'Code Véhicule'!$A$4:$D$185,4,0))," ",VLOOKUP(Tableau13[[#This Row],[Code]],'Code Véhicule'!$A$4:$D$185,4,0))</f>
        <v>-</v>
      </c>
      <c r="F611" s="36">
        <v>24638</v>
      </c>
      <c r="G611" s="38" t="s">
        <v>393</v>
      </c>
      <c r="H611" s="38" t="s">
        <v>608</v>
      </c>
      <c r="I611" s="36" t="s">
        <v>304</v>
      </c>
      <c r="J611" s="39" t="s">
        <v>1152</v>
      </c>
      <c r="K611" s="36">
        <v>162627</v>
      </c>
      <c r="L611" s="40">
        <v>30</v>
      </c>
      <c r="M611" s="40">
        <v>30</v>
      </c>
      <c r="N611" s="41">
        <v>44335</v>
      </c>
      <c r="O611" s="45"/>
      <c r="P611" s="45"/>
      <c r="Q611" s="176" t="e">
        <f>MONTH([1]!Tableau13[[#This Row],[Date début]])</f>
        <v>#REF!</v>
      </c>
      <c r="R611" s="180" t="e">
        <f>YEAR([1]!Tableau13[[#This Row],[Date début]])</f>
        <v>#REF!</v>
      </c>
    </row>
    <row r="612" spans="1:20" ht="30">
      <c r="A612" s="35">
        <v>44336</v>
      </c>
      <c r="B612" s="36">
        <v>471</v>
      </c>
      <c r="C612" s="37" t="str">
        <f>IF(ISNA(VLOOKUP(Tableau13[[#This Row],[Code]],'Code Véhicule'!$A$4:$C$185,2,0)),"",VLOOKUP(Tableau13[[#This Row],[Code]],'Code Véhicule'!$A$4:$C$185,2,0))</f>
        <v>Bus de transport</v>
      </c>
      <c r="D612" s="38" t="str">
        <f>IF(ISNA(VLOOKUP(Tableau13[[#This Row],[Code]],'Code Véhicule'!$A$4:$C$185,3,0)),"",VLOOKUP(Tableau13[[#This Row],[Code]],'Code Véhicule'!$A$4:$C$185,3,0))</f>
        <v xml:space="preserve">Hyundai County </v>
      </c>
      <c r="E612" s="36" t="str">
        <f>IF(ISNA(VLOOKUP(Tableau13[[#This Row],[Code]],'Code Véhicule'!$A$4:$D$185,4,0))," ",VLOOKUP(Tableau13[[#This Row],[Code]],'Code Véhicule'!$A$4:$D$185,4,0))</f>
        <v>18516-A-73</v>
      </c>
      <c r="F612" s="36">
        <v>24639</v>
      </c>
      <c r="G612" s="38" t="s">
        <v>1154</v>
      </c>
      <c r="H612" s="38" t="s">
        <v>611</v>
      </c>
      <c r="I612" s="36" t="s">
        <v>304</v>
      </c>
      <c r="J612" s="39" t="s">
        <v>1155</v>
      </c>
      <c r="K612" s="36" t="s">
        <v>1156</v>
      </c>
      <c r="L612" s="40">
        <v>30</v>
      </c>
      <c r="M612" s="40">
        <v>30</v>
      </c>
      <c r="N612" s="41">
        <v>44336</v>
      </c>
      <c r="O612" s="45"/>
      <c r="P612" s="45"/>
      <c r="Q612" s="176" t="e">
        <f>MONTH([1]!Tableau13[[#This Row],[Date début]])</f>
        <v>#REF!</v>
      </c>
      <c r="R612" s="180" t="e">
        <f>YEAR([1]!Tableau13[[#This Row],[Date début]])</f>
        <v>#REF!</v>
      </c>
    </row>
    <row r="613" spans="1:20" ht="75">
      <c r="A613" s="35">
        <v>44339</v>
      </c>
      <c r="B613" s="36">
        <v>471</v>
      </c>
      <c r="C613" s="37" t="str">
        <f>IF(ISNA(VLOOKUP(Tableau13[[#This Row],[Code]],'Code Véhicule'!$A$4:$C$185,2,0)),"",VLOOKUP(Tableau13[[#This Row],[Code]],'Code Véhicule'!$A$4:$C$185,2,0))</f>
        <v>Bus de transport</v>
      </c>
      <c r="D613" s="38" t="str">
        <f>IF(ISNA(VLOOKUP(Tableau13[[#This Row],[Code]],'Code Véhicule'!$A$4:$C$185,3,0)),"",VLOOKUP(Tableau13[[#This Row],[Code]],'Code Véhicule'!$A$4:$C$185,3,0))</f>
        <v xml:space="preserve">Hyundai County </v>
      </c>
      <c r="E613" s="36" t="str">
        <f>IF(ISNA(VLOOKUP(Tableau13[[#This Row],[Code]],'Code Véhicule'!$A$4:$D$185,4,0))," ",VLOOKUP(Tableau13[[#This Row],[Code]],'Code Véhicule'!$A$4:$D$185,4,0))</f>
        <v>18516-A-73</v>
      </c>
      <c r="F613" s="36">
        <v>24641</v>
      </c>
      <c r="G613" s="38" t="s">
        <v>610</v>
      </c>
      <c r="H613" s="38" t="s">
        <v>1128</v>
      </c>
      <c r="I613" s="36" t="s">
        <v>304</v>
      </c>
      <c r="J613" s="39" t="s">
        <v>1160</v>
      </c>
      <c r="K613" s="36" t="s">
        <v>1161</v>
      </c>
      <c r="L613" s="40">
        <v>3420</v>
      </c>
      <c r="M613" s="40">
        <v>6270</v>
      </c>
      <c r="N613" s="41">
        <v>44351</v>
      </c>
      <c r="O613" s="45"/>
      <c r="P613" s="45"/>
      <c r="Q613" s="176" t="e">
        <f>MONTH([1]!Tableau13[[#This Row],[Date début]])</f>
        <v>#REF!</v>
      </c>
      <c r="R613" s="180" t="e">
        <f>YEAR([1]!Tableau13[[#This Row],[Date début]])</f>
        <v>#REF!</v>
      </c>
    </row>
    <row r="614" spans="1:20" ht="45" customHeight="1">
      <c r="A614" s="35">
        <v>44340</v>
      </c>
      <c r="B614" s="36">
        <v>409</v>
      </c>
      <c r="C614" s="37" t="str">
        <f>IF(ISNA(VLOOKUP(Tableau13[[#This Row],[Code]],'Code Véhicule'!$A$4:$C$185,2,0)),"",VLOOKUP(Tableau13[[#This Row],[Code]],'Code Véhicule'!$A$4:$C$185,2,0))</f>
        <v>Camion</v>
      </c>
      <c r="D614" s="38" t="str">
        <f>IF(ISNA(VLOOKUP(Tableau13[[#This Row],[Code]],'Code Véhicule'!$A$4:$C$185,3,0)),"",VLOOKUP(Tableau13[[#This Row],[Code]],'Code Véhicule'!$A$4:$C$185,3,0))</f>
        <v>Mitsubishi</v>
      </c>
      <c r="E614" s="36" t="str">
        <f>IF(ISNA(VLOOKUP(Tableau13[[#This Row],[Code]],'Code Véhicule'!$A$4:$D$185,4,0))," ",VLOOKUP(Tableau13[[#This Row],[Code]],'Code Véhicule'!$A$4:$D$185,4,0))</f>
        <v xml:space="preserve">4969-A-73 </v>
      </c>
      <c r="F614" s="36">
        <v>25007</v>
      </c>
      <c r="G614" s="38" t="s">
        <v>393</v>
      </c>
      <c r="H614" s="38" t="s">
        <v>608</v>
      </c>
      <c r="I614" s="36" t="s">
        <v>302</v>
      </c>
      <c r="J614" s="39" t="s">
        <v>1183</v>
      </c>
      <c r="K614" s="36">
        <v>162646</v>
      </c>
      <c r="L614" s="40">
        <v>120</v>
      </c>
      <c r="M614" s="40">
        <v>120</v>
      </c>
      <c r="N614" s="41">
        <v>44340</v>
      </c>
      <c r="O614" s="45"/>
      <c r="P614" s="45"/>
      <c r="Q614" s="176" t="e">
        <f>MONTH([1]!Tableau13[[#This Row],[Date début]])</f>
        <v>#REF!</v>
      </c>
      <c r="R614" s="180" t="e">
        <f>YEAR([1]!Tableau13[[#This Row],[Date début]])</f>
        <v>#REF!</v>
      </c>
    </row>
    <row r="615" spans="1:20" ht="30">
      <c r="A615" s="35">
        <v>44340</v>
      </c>
      <c r="B615" s="36">
        <v>471</v>
      </c>
      <c r="C615" s="37" t="str">
        <f>IF(ISNA(VLOOKUP(Tableau13[[#This Row],[Code]],'Code Véhicule'!$A$4:$C$185,2,0)),"",VLOOKUP(Tableau13[[#This Row],[Code]],'Code Véhicule'!$A$4:$C$185,2,0))</f>
        <v>Bus de transport</v>
      </c>
      <c r="D615" s="38" t="str">
        <f>IF(ISNA(VLOOKUP(Tableau13[[#This Row],[Code]],'Code Véhicule'!$A$4:$C$185,3,0)),"",VLOOKUP(Tableau13[[#This Row],[Code]],'Code Véhicule'!$A$4:$C$185,3,0))</f>
        <v xml:space="preserve">Hyundai County </v>
      </c>
      <c r="E615" s="36" t="str">
        <f>IF(ISNA(VLOOKUP(Tableau13[[#This Row],[Code]],'Code Véhicule'!$A$4:$D$185,4,0))," ",VLOOKUP(Tableau13[[#This Row],[Code]],'Code Véhicule'!$A$4:$D$185,4,0))</f>
        <v>18516-A-73</v>
      </c>
      <c r="F615" s="36">
        <v>25005</v>
      </c>
      <c r="G615" s="38" t="s">
        <v>545</v>
      </c>
      <c r="H615" s="38" t="s">
        <v>1082</v>
      </c>
      <c r="I615" s="36" t="s">
        <v>304</v>
      </c>
      <c r="J615" s="39" t="s">
        <v>1181</v>
      </c>
      <c r="K615" s="36">
        <v>162638</v>
      </c>
      <c r="L615" s="40">
        <v>240</v>
      </c>
      <c r="M615" s="40">
        <v>240</v>
      </c>
      <c r="N615" s="41">
        <v>44371</v>
      </c>
      <c r="O615" s="45"/>
      <c r="P615" s="45"/>
      <c r="Q615" s="176" t="e">
        <f>MONTH([1]!Tableau13[[#This Row],[Date début]])</f>
        <v>#REF!</v>
      </c>
      <c r="R615" s="180" t="e">
        <f>YEAR([1]!Tableau13[[#This Row],[Date début]])</f>
        <v>#REF!</v>
      </c>
    </row>
    <row r="616" spans="1:20" ht="90" customHeight="1">
      <c r="A616" s="35">
        <v>44341</v>
      </c>
      <c r="B616" s="36">
        <v>413</v>
      </c>
      <c r="C616" s="37" t="str">
        <f>IF(ISNA(VLOOKUP(Tableau13[[#This Row],[Code]],'Code Véhicule'!$A$4:$C$185,2,0)),"",VLOOKUP(Tableau13[[#This Row],[Code]],'Code Véhicule'!$A$4:$C$185,2,0))</f>
        <v>Chargeur</v>
      </c>
      <c r="D616" s="38" t="str">
        <f>IF(ISNA(VLOOKUP(Tableau13[[#This Row],[Code]],'Code Véhicule'!$A$4:$C$185,3,0)),"",VLOOKUP(Tableau13[[#This Row],[Code]],'Code Véhicule'!$A$4:$C$185,3,0))</f>
        <v>Caterpillar</v>
      </c>
      <c r="E616" s="36" t="str">
        <f>IF(ISNA(VLOOKUP(Tableau13[[#This Row],[Code]],'Code Véhicule'!$A$4:$D$185,4,0))," ",VLOOKUP(Tableau13[[#This Row],[Code]],'Code Véhicule'!$A$4:$D$185,4,0))</f>
        <v>-</v>
      </c>
      <c r="F616" s="36">
        <v>25004</v>
      </c>
      <c r="G616" s="38" t="s">
        <v>1171</v>
      </c>
      <c r="H616" s="38" t="s">
        <v>1172</v>
      </c>
      <c r="I616" s="36" t="s">
        <v>304</v>
      </c>
      <c r="J616" s="39" t="s">
        <v>1178</v>
      </c>
      <c r="K616" s="36" t="s">
        <v>1179</v>
      </c>
      <c r="L616" s="40">
        <v>3420</v>
      </c>
      <c r="M616" s="40">
        <v>7410</v>
      </c>
      <c r="N616" s="41">
        <v>44357</v>
      </c>
      <c r="O616" s="45"/>
      <c r="P616" s="45"/>
      <c r="Q616" s="176" t="e">
        <f>MONTH([1]!Tableau13[[#This Row],[Date début]])</f>
        <v>#REF!</v>
      </c>
      <c r="R616" s="180" t="e">
        <f>YEAR([1]!Tableau13[[#This Row],[Date début]])</f>
        <v>#REF!</v>
      </c>
    </row>
    <row r="617" spans="1:20" ht="30" customHeight="1">
      <c r="A617" s="35">
        <v>44341</v>
      </c>
      <c r="B617" s="36">
        <v>426</v>
      </c>
      <c r="C617" s="37" t="str">
        <f>IF(ISNA(VLOOKUP(Tableau13[[#This Row],[Code]],'Code Véhicule'!$A$4:$C$185,2,0)),"",VLOOKUP(Tableau13[[#This Row],[Code]],'Code Véhicule'!$A$4:$C$185,2,0))</f>
        <v>Chariot elevateur</v>
      </c>
      <c r="D617" s="38" t="str">
        <f>IF(ISNA(VLOOKUP(Tableau13[[#This Row],[Code]],'Code Véhicule'!$A$4:$C$185,3,0)),"",VLOOKUP(Tableau13[[#This Row],[Code]],'Code Véhicule'!$A$4:$C$185,3,0))</f>
        <v>Manitou MC 30</v>
      </c>
      <c r="E617" s="36" t="str">
        <f>IF(ISNA(VLOOKUP(Tableau13[[#This Row],[Code]],'Code Véhicule'!$A$4:$D$185,4,0))," ",VLOOKUP(Tableau13[[#This Row],[Code]],'Code Véhicule'!$A$4:$D$185,4,0))</f>
        <v>-</v>
      </c>
      <c r="F617" s="36">
        <v>25006</v>
      </c>
      <c r="G617" s="38" t="s">
        <v>353</v>
      </c>
      <c r="H617" s="38" t="s">
        <v>701</v>
      </c>
      <c r="I617" s="36" t="s">
        <v>304</v>
      </c>
      <c r="J617" s="39" t="s">
        <v>1182</v>
      </c>
      <c r="K617" s="36">
        <v>162643</v>
      </c>
      <c r="L617" s="40">
        <v>1140</v>
      </c>
      <c r="M617" s="40">
        <v>1140</v>
      </c>
      <c r="N617" s="41">
        <v>44342</v>
      </c>
      <c r="O617" s="45"/>
      <c r="P617" s="45"/>
      <c r="Q617" s="176" t="e">
        <f>MONTH([1]!Tableau13[[#This Row],[Date début]])</f>
        <v>#REF!</v>
      </c>
      <c r="R617" s="180" t="e">
        <f>YEAR([1]!Tableau13[[#This Row],[Date début]])</f>
        <v>#REF!</v>
      </c>
    </row>
    <row r="618" spans="1:20" ht="60" customHeight="1">
      <c r="A618" s="35">
        <v>44342</v>
      </c>
      <c r="B618" s="36">
        <v>477</v>
      </c>
      <c r="C618" s="37" t="str">
        <f>IF(ISNA(VLOOKUP(Tableau13[[#This Row],[Code]],'Code Véhicule'!$A$4:$C$185,2,0)),"",VLOOKUP(Tableau13[[#This Row],[Code]],'Code Véhicule'!$A$4:$C$185,2,0))</f>
        <v>Chariot elevateur</v>
      </c>
      <c r="D618" s="38" t="str">
        <f>IF(ISNA(VLOOKUP(Tableau13[[#This Row],[Code]],'Code Véhicule'!$A$4:$C$185,3,0)),"",VLOOKUP(Tableau13[[#This Row],[Code]],'Code Véhicule'!$A$4:$C$185,3,0))</f>
        <v>Linde H30D</v>
      </c>
      <c r="E618" s="36" t="str">
        <f>IF(ISNA(VLOOKUP(Tableau13[[#This Row],[Code]],'Code Véhicule'!$A$4:$D$185,4,0))," ",VLOOKUP(Tableau13[[#This Row],[Code]],'Code Véhicule'!$A$4:$D$185,4,0))</f>
        <v>-</v>
      </c>
      <c r="F618" s="36">
        <v>24642</v>
      </c>
      <c r="G618" s="38" t="s">
        <v>393</v>
      </c>
      <c r="H618" s="38" t="s">
        <v>608</v>
      </c>
      <c r="I618" s="36" t="s">
        <v>302</v>
      </c>
      <c r="J618" s="39" t="s">
        <v>1170</v>
      </c>
      <c r="K618" s="36">
        <v>163602</v>
      </c>
      <c r="L618" s="40">
        <v>60</v>
      </c>
      <c r="M618" s="40">
        <v>60</v>
      </c>
      <c r="N618" s="41">
        <v>44342</v>
      </c>
      <c r="O618" s="45"/>
      <c r="P618" s="45"/>
      <c r="Q618" s="176" t="e">
        <f>MONTH([1]!Tableau13[[#This Row],[Date début]])</f>
        <v>#REF!</v>
      </c>
      <c r="R618" s="180" t="e">
        <f>YEAR([1]!Tableau13[[#This Row],[Date début]])</f>
        <v>#REF!</v>
      </c>
    </row>
    <row r="619" spans="1:20" ht="15.75" customHeight="1">
      <c r="A619" s="35">
        <v>44342</v>
      </c>
      <c r="B619" s="36">
        <v>413</v>
      </c>
      <c r="C619" s="37" t="str">
        <f>IF(ISNA(VLOOKUP(Tableau13[[#This Row],[Code]],'Code Véhicule'!$A$4:$C$185,2,0)),"",VLOOKUP(Tableau13[[#This Row],[Code]],'Code Véhicule'!$A$4:$C$185,2,0))</f>
        <v>Chargeur</v>
      </c>
      <c r="D619" s="38" t="str">
        <f>IF(ISNA(VLOOKUP(Tableau13[[#This Row],[Code]],'Code Véhicule'!$A$4:$C$185,3,0)),"",VLOOKUP(Tableau13[[#This Row],[Code]],'Code Véhicule'!$A$4:$C$185,3,0))</f>
        <v>Caterpillar</v>
      </c>
      <c r="E619" s="36" t="str">
        <f>IF(ISNA(VLOOKUP(Tableau13[[#This Row],[Code]],'Code Véhicule'!$A$4:$D$185,4,0))," ",VLOOKUP(Tableau13[[#This Row],[Code]],'Code Véhicule'!$A$4:$D$185,4,0))</f>
        <v>-</v>
      </c>
      <c r="F619" s="36">
        <v>25008</v>
      </c>
      <c r="G619" s="38" t="s">
        <v>1184</v>
      </c>
      <c r="H619" s="38" t="s">
        <v>1185</v>
      </c>
      <c r="I619" s="36" t="s">
        <v>304</v>
      </c>
      <c r="J619" s="39" t="s">
        <v>1186</v>
      </c>
      <c r="K619" s="36">
        <v>164647</v>
      </c>
      <c r="L619" s="40">
        <v>240</v>
      </c>
      <c r="M619" s="40">
        <v>240</v>
      </c>
      <c r="N619" s="41">
        <v>44342</v>
      </c>
      <c r="O619" s="45"/>
      <c r="P619" s="45"/>
      <c r="Q619" s="176" t="e">
        <f>MONTH([1]!Tableau13[[#This Row],[Date début]])</f>
        <v>#REF!</v>
      </c>
      <c r="R619" s="180" t="e">
        <f>YEAR([1]!Tableau13[[#This Row],[Date début]])</f>
        <v>#REF!</v>
      </c>
    </row>
    <row r="620" spans="1:20" ht="165" customHeight="1">
      <c r="A620" s="35">
        <v>44343</v>
      </c>
      <c r="B620" s="36">
        <v>411</v>
      </c>
      <c r="C620" s="37" t="str">
        <f>IF(ISNA(VLOOKUP(Tableau13[[#This Row],[Code]],'Code Véhicule'!$A$4:$C$185,2,0)),"",VLOOKUP(Tableau13[[#This Row],[Code]],'Code Véhicule'!$A$4:$C$185,2,0))</f>
        <v>Camion</v>
      </c>
      <c r="D620" s="38" t="str">
        <f>IF(ISNA(VLOOKUP(Tableau13[[#This Row],[Code]],'Code Véhicule'!$A$4:$C$185,3,0)),"",VLOOKUP(Tableau13[[#This Row],[Code]],'Code Véhicule'!$A$4:$C$185,3,0))</f>
        <v>Renault</v>
      </c>
      <c r="E620" s="36" t="str">
        <f>IF(ISNA(VLOOKUP(Tableau13[[#This Row],[Code]],'Code Véhicule'!$A$4:$D$185,4,0))," ",VLOOKUP(Tableau13[[#This Row],[Code]],'Code Véhicule'!$A$4:$D$185,4,0))</f>
        <v>25636-A-13</v>
      </c>
      <c r="F620" s="36">
        <v>24649</v>
      </c>
      <c r="G620" s="38" t="s">
        <v>1166</v>
      </c>
      <c r="H620" s="38" t="s">
        <v>1167</v>
      </c>
      <c r="I620" s="36" t="s">
        <v>304</v>
      </c>
      <c r="J620" s="39" t="s">
        <v>1176</v>
      </c>
      <c r="K620" s="36" t="s">
        <v>1177</v>
      </c>
      <c r="L620" s="40">
        <v>5700</v>
      </c>
      <c r="M620" s="40">
        <v>12540</v>
      </c>
      <c r="N620" s="41">
        <v>44369</v>
      </c>
      <c r="O620" s="45"/>
      <c r="P620" s="45"/>
      <c r="Q620" s="176" t="e">
        <f>MONTH([1]!Tableau13[[#This Row],[Date début]])</f>
        <v>#REF!</v>
      </c>
      <c r="R620" s="180" t="e">
        <f>YEAR([1]!Tableau13[[#This Row],[Date début]])</f>
        <v>#REF!</v>
      </c>
    </row>
    <row r="621" spans="1:20" ht="15.75" customHeight="1">
      <c r="A621" s="35">
        <v>44343</v>
      </c>
      <c r="B621" s="36">
        <v>403</v>
      </c>
      <c r="C621" s="37" t="str">
        <f>IF(ISNA(VLOOKUP(Tableau13[[#This Row],[Code]],'Code Véhicule'!$A$4:$C$185,2,0)),"",VLOOKUP(Tableau13[[#This Row],[Code]],'Code Véhicule'!$A$4:$C$185,2,0))</f>
        <v>Camion</v>
      </c>
      <c r="D621" s="38" t="str">
        <f>IF(ISNA(VLOOKUP(Tableau13[[#This Row],[Code]],'Code Véhicule'!$A$4:$C$185,3,0)),"",VLOOKUP(Tableau13[[#This Row],[Code]],'Code Véhicule'!$A$4:$C$185,3,0))</f>
        <v>MAN</v>
      </c>
      <c r="E621" s="36" t="str">
        <f>IF(ISNA(VLOOKUP(Tableau13[[#This Row],[Code]],'Code Véhicule'!$A$4:$D$185,4,0))," ",VLOOKUP(Tableau13[[#This Row],[Code]],'Code Véhicule'!$A$4:$D$185,4,0))</f>
        <v>4790-B-8</v>
      </c>
      <c r="F621" s="36">
        <v>24643</v>
      </c>
      <c r="G621" s="38" t="s">
        <v>523</v>
      </c>
      <c r="H621" s="38" t="s">
        <v>601</v>
      </c>
      <c r="I621" s="36" t="s">
        <v>304</v>
      </c>
      <c r="J621" s="39" t="s">
        <v>1162</v>
      </c>
      <c r="K621" s="36">
        <v>163606</v>
      </c>
      <c r="L621" s="40">
        <v>240</v>
      </c>
      <c r="M621" s="40">
        <v>240</v>
      </c>
      <c r="N621" s="41">
        <v>44343</v>
      </c>
      <c r="O621" s="45"/>
      <c r="P621" s="45"/>
      <c r="Q621" s="176" t="e">
        <f>MONTH([1]!Tableau13[[#This Row],[Date début]])</f>
        <v>#REF!</v>
      </c>
      <c r="R621" s="180" t="e">
        <f>YEAR([1]!Tableau13[[#This Row],[Date début]])</f>
        <v>#REF!</v>
      </c>
    </row>
    <row r="622" spans="1:20" ht="60" customHeight="1">
      <c r="A622" s="35">
        <v>44345</v>
      </c>
      <c r="B622" s="36">
        <v>436</v>
      </c>
      <c r="C622" s="37" t="str">
        <f>IF(ISNA(VLOOKUP(Tableau13[[#This Row],[Code]],'Code Véhicule'!$A$4:$C$185,2,0)),"",VLOOKUP(Tableau13[[#This Row],[Code]],'Code Véhicule'!$A$4:$C$185,2,0))</f>
        <v>Camion</v>
      </c>
      <c r="D622" s="38" t="str">
        <f>IF(ISNA(VLOOKUP(Tableau13[[#This Row],[Code]],'Code Véhicule'!$A$4:$C$185,3,0)),"",VLOOKUP(Tableau13[[#This Row],[Code]],'Code Véhicule'!$A$4:$C$185,3,0))</f>
        <v>Mitsubishi</v>
      </c>
      <c r="E622" s="36" t="str">
        <f>IF(ISNA(VLOOKUP(Tableau13[[#This Row],[Code]],'Code Véhicule'!$A$4:$D$185,4,0))," ",VLOOKUP(Tableau13[[#This Row],[Code]],'Code Véhicule'!$A$4:$D$185,4,0))</f>
        <v>11470-A-73</v>
      </c>
      <c r="F622" s="36">
        <v>24646</v>
      </c>
      <c r="G622" s="38" t="s">
        <v>393</v>
      </c>
      <c r="H622" s="38" t="s">
        <v>608</v>
      </c>
      <c r="I622" s="36" t="s">
        <v>302</v>
      </c>
      <c r="J622" s="39" t="s">
        <v>1169</v>
      </c>
      <c r="K622" s="36">
        <v>163613</v>
      </c>
      <c r="L622" s="40">
        <v>60</v>
      </c>
      <c r="M622" s="40">
        <v>60</v>
      </c>
      <c r="N622" s="41">
        <v>44345</v>
      </c>
      <c r="O622" s="45"/>
      <c r="P622" s="45"/>
      <c r="Q622" s="176" t="e">
        <f>MONTH([1]!Tableau13[[#This Row],[Date début]])</f>
        <v>#REF!</v>
      </c>
      <c r="R622" s="180" t="e">
        <f>YEAR([1]!Tableau13[[#This Row],[Date début]])</f>
        <v>#REF!</v>
      </c>
    </row>
    <row r="623" spans="1:20" ht="15.75" customHeight="1">
      <c r="A623" s="35">
        <v>44345</v>
      </c>
      <c r="B623" s="36">
        <v>405</v>
      </c>
      <c r="C623" s="37" t="str">
        <f>IF(ISNA(VLOOKUP(Tableau13[[#This Row],[Code]],'Code Véhicule'!$A$4:$C$185,2,0)),"",VLOOKUP(Tableau13[[#This Row],[Code]],'Code Véhicule'!$A$4:$C$185,2,0))</f>
        <v>Camion</v>
      </c>
      <c r="D623" s="38" t="str">
        <f>IF(ISNA(VLOOKUP(Tableau13[[#This Row],[Code]],'Code Véhicule'!$A$4:$C$185,3,0)),"",VLOOKUP(Tableau13[[#This Row],[Code]],'Code Véhicule'!$A$4:$C$185,3,0))</f>
        <v>ISUZU</v>
      </c>
      <c r="E623" s="36" t="str">
        <f>IF(ISNA(VLOOKUP(Tableau13[[#This Row],[Code]],'Code Véhicule'!$A$4:$D$185,4,0))," ",VLOOKUP(Tableau13[[#This Row],[Code]],'Code Véhicule'!$A$4:$D$185,4,0))</f>
        <v xml:space="preserve"> 22128-W-6</v>
      </c>
      <c r="F623" s="36">
        <v>24644</v>
      </c>
      <c r="G623" s="38" t="s">
        <v>511</v>
      </c>
      <c r="H623" s="38" t="s">
        <v>672</v>
      </c>
      <c r="I623" s="36" t="s">
        <v>304</v>
      </c>
      <c r="J623" s="39" t="s">
        <v>1163</v>
      </c>
      <c r="K623" s="36">
        <v>163610</v>
      </c>
      <c r="L623" s="40">
        <v>60</v>
      </c>
      <c r="M623" s="40">
        <v>60</v>
      </c>
      <c r="N623" s="41">
        <v>44345</v>
      </c>
      <c r="O623" s="45"/>
      <c r="P623" s="45"/>
      <c r="Q623" s="176" t="e">
        <f>MONTH([1]!Tableau13[[#This Row],[Date début]])</f>
        <v>#REF!</v>
      </c>
      <c r="R623" s="180" t="e">
        <f>YEAR([1]!Tableau13[[#This Row],[Date début]])</f>
        <v>#REF!</v>
      </c>
    </row>
    <row r="624" spans="1:20" s="75" customFormat="1" ht="30" customHeight="1">
      <c r="A624" s="35">
        <v>44345</v>
      </c>
      <c r="B624" s="36">
        <v>426</v>
      </c>
      <c r="C624" s="37" t="str">
        <f>IF(ISNA(VLOOKUP(Tableau13[[#This Row],[Code]],'Code Véhicule'!$A$4:$C$185,2,0)),"",VLOOKUP(Tableau13[[#This Row],[Code]],'Code Véhicule'!$A$4:$C$185,2,0))</f>
        <v>Chariot elevateur</v>
      </c>
      <c r="D624" s="38" t="str">
        <f>IF(ISNA(VLOOKUP(Tableau13[[#This Row],[Code]],'Code Véhicule'!$A$4:$C$185,3,0)),"",VLOOKUP(Tableau13[[#This Row],[Code]],'Code Véhicule'!$A$4:$C$185,3,0))</f>
        <v>Manitou MC 30</v>
      </c>
      <c r="E624" s="36" t="str">
        <f>IF(ISNA(VLOOKUP(Tableau13[[#This Row],[Code]],'Code Véhicule'!$A$4:$D$185,4,0))," ",VLOOKUP(Tableau13[[#This Row],[Code]],'Code Véhicule'!$A$4:$D$185,4,0))</f>
        <v>-</v>
      </c>
      <c r="F624" s="36">
        <v>24647</v>
      </c>
      <c r="G624" s="38" t="s">
        <v>493</v>
      </c>
      <c r="H624" s="38" t="s">
        <v>601</v>
      </c>
      <c r="I624" s="36" t="s">
        <v>304</v>
      </c>
      <c r="J624" s="39" t="s">
        <v>1164</v>
      </c>
      <c r="K624" s="36">
        <v>163615</v>
      </c>
      <c r="L624" s="40">
        <v>60</v>
      </c>
      <c r="M624" s="40">
        <v>60</v>
      </c>
      <c r="N624" s="41">
        <v>44345</v>
      </c>
      <c r="O624" s="45"/>
      <c r="P624" s="45"/>
      <c r="Q624" s="176" t="e">
        <f>MONTH([1]!Tableau13[[#This Row],[Date début]])</f>
        <v>#REF!</v>
      </c>
      <c r="R624" s="180" t="e">
        <f>YEAR([1]!Tableau13[[#This Row],[Date début]])</f>
        <v>#REF!</v>
      </c>
      <c r="S624" s="44"/>
      <c r="T624" s="44"/>
    </row>
    <row r="625" spans="1:20" s="75" customFormat="1" ht="23.25" customHeight="1">
      <c r="A625" s="35">
        <v>44345</v>
      </c>
      <c r="B625" s="36">
        <v>439</v>
      </c>
      <c r="C625" s="37" t="str">
        <f>IF(ISNA(VLOOKUP(Tableau13[[#This Row],[Code]],'Code Véhicule'!$A$4:$C$185,2,0)),"",VLOOKUP(Tableau13[[#This Row],[Code]],'Code Véhicule'!$A$4:$C$185,2,0))</f>
        <v>Semi remorque</v>
      </c>
      <c r="D625" s="38" t="str">
        <f>IF(ISNA(VLOOKUP(Tableau13[[#This Row],[Code]],'Code Véhicule'!$A$4:$C$185,3,0)),"",VLOOKUP(Tableau13[[#This Row],[Code]],'Code Véhicule'!$A$4:$C$185,3,0))</f>
        <v>VOLVO</v>
      </c>
      <c r="E625" s="36" t="str">
        <f>IF(ISNA(VLOOKUP(Tableau13[[#This Row],[Code]],'Code Véhicule'!$A$4:$D$185,4,0))," ",VLOOKUP(Tableau13[[#This Row],[Code]],'Code Véhicule'!$A$4:$D$185,4,0))</f>
        <v xml:space="preserve">17886-A-73 </v>
      </c>
      <c r="F625" s="36">
        <v>24648</v>
      </c>
      <c r="G625" s="38" t="s">
        <v>560</v>
      </c>
      <c r="H625" s="38" t="s">
        <v>604</v>
      </c>
      <c r="I625" s="36" t="s">
        <v>304</v>
      </c>
      <c r="J625" s="39" t="s">
        <v>1165</v>
      </c>
      <c r="K625" s="36">
        <v>163617</v>
      </c>
      <c r="L625" s="40">
        <v>60</v>
      </c>
      <c r="M625" s="40">
        <v>60</v>
      </c>
      <c r="N625" s="41">
        <v>44345</v>
      </c>
      <c r="O625" s="45"/>
      <c r="P625" s="45"/>
      <c r="Q625" s="176" t="e">
        <f>MONTH([1]!Tableau13[[#This Row],[Date début]])</f>
        <v>#REF!</v>
      </c>
      <c r="R625" s="180" t="e">
        <f>YEAR([1]!Tableau13[[#This Row],[Date début]])</f>
        <v>#REF!</v>
      </c>
      <c r="S625" s="44"/>
      <c r="T625" s="44"/>
    </row>
    <row r="626" spans="1:20" s="75" customFormat="1" ht="60">
      <c r="A626" s="35">
        <v>44347</v>
      </c>
      <c r="B626" s="36">
        <v>479</v>
      </c>
      <c r="C626" s="37" t="str">
        <f>IF(ISNA(VLOOKUP(Tableau13[[#This Row],[Code]],'Code Véhicule'!$A$4:$C$185,2,0)),"",VLOOKUP(Tableau13[[#This Row],[Code]],'Code Véhicule'!$A$4:$C$185,2,0))</f>
        <v>Bus de transport</v>
      </c>
      <c r="D626" s="38" t="str">
        <f>IF(ISNA(VLOOKUP(Tableau13[[#This Row],[Code]],'Code Véhicule'!$A$4:$C$185,3,0)),"",VLOOKUP(Tableau13[[#This Row],[Code]],'Code Véhicule'!$A$4:$C$185,3,0))</f>
        <v>Hyundai County</v>
      </c>
      <c r="E626" s="36" t="str">
        <f>IF(ISNA(VLOOKUP(Tableau13[[#This Row],[Code]],'Code Véhicule'!$A$4:$D$185,4,0))," ",VLOOKUP(Tableau13[[#This Row],[Code]],'Code Véhicule'!$A$4:$D$185,4,0))</f>
        <v>22772-A-73</v>
      </c>
      <c r="F626" s="36">
        <v>25002</v>
      </c>
      <c r="G626" s="38" t="s">
        <v>393</v>
      </c>
      <c r="H626" s="38" t="s">
        <v>608</v>
      </c>
      <c r="I626" s="36" t="s">
        <v>322</v>
      </c>
      <c r="J626" s="39" t="s">
        <v>1168</v>
      </c>
      <c r="K626" s="36">
        <v>163623</v>
      </c>
      <c r="L626" s="40">
        <v>60</v>
      </c>
      <c r="M626" s="40">
        <v>60</v>
      </c>
      <c r="N626" s="41">
        <v>44347</v>
      </c>
      <c r="O626" s="45"/>
      <c r="P626" s="45"/>
      <c r="Q626" s="176" t="e">
        <f>MONTH([1]!Tableau13[[#This Row],[Date début]])</f>
        <v>#REF!</v>
      </c>
      <c r="R626" s="180" t="e">
        <f>YEAR([1]!Tableau13[[#This Row],[Date début]])</f>
        <v>#REF!</v>
      </c>
      <c r="S626" s="44"/>
      <c r="T626" s="44"/>
    </row>
    <row r="627" spans="1:20" s="75" customFormat="1" ht="23.25" customHeight="1">
      <c r="A627" s="35">
        <v>44347</v>
      </c>
      <c r="B627" s="36">
        <v>410</v>
      </c>
      <c r="C627" s="37" t="str">
        <f>IF(ISNA(VLOOKUP(Tableau13[[#This Row],[Code]],'Code Véhicule'!$A$4:$C$185,2,0)),"",VLOOKUP(Tableau13[[#This Row],[Code]],'Code Véhicule'!$A$4:$C$185,2,0))</f>
        <v>Semi remorque</v>
      </c>
      <c r="D627" s="38" t="str">
        <f>IF(ISNA(VLOOKUP(Tableau13[[#This Row],[Code]],'Code Véhicule'!$A$4:$C$185,3,0)),"",VLOOKUP(Tableau13[[#This Row],[Code]],'Code Véhicule'!$A$4:$C$185,3,0))</f>
        <v>MAN</v>
      </c>
      <c r="E627" s="36" t="str">
        <f>IF(ISNA(VLOOKUP(Tableau13[[#This Row],[Code]],'Code Véhicule'!$A$4:$D$185,4,0))," ",VLOOKUP(Tableau13[[#This Row],[Code]],'Code Véhicule'!$A$4:$D$185,4,0))</f>
        <v xml:space="preserve">28659-D-1 </v>
      </c>
      <c r="F627" s="36">
        <v>25001</v>
      </c>
      <c r="G627" s="38" t="s">
        <v>560</v>
      </c>
      <c r="H627" s="38" t="s">
        <v>604</v>
      </c>
      <c r="I627" s="36" t="s">
        <v>304</v>
      </c>
      <c r="J627" s="39" t="s">
        <v>786</v>
      </c>
      <c r="K627" s="36">
        <v>1636624</v>
      </c>
      <c r="L627" s="40">
        <v>60</v>
      </c>
      <c r="M627" s="40">
        <v>60</v>
      </c>
      <c r="N627" s="41">
        <v>44347</v>
      </c>
      <c r="O627" s="45"/>
      <c r="P627" s="45"/>
      <c r="Q627" s="176" t="e">
        <f>MONTH([1]!Tableau13[[#This Row],[Date début]])</f>
        <v>#REF!</v>
      </c>
      <c r="R627" s="180" t="e">
        <f>YEAR([1]!Tableau13[[#This Row],[Date début]])</f>
        <v>#REF!</v>
      </c>
      <c r="S627" s="44"/>
      <c r="T627" s="44"/>
    </row>
    <row r="628" spans="1:20" s="75" customFormat="1" ht="30" customHeight="1">
      <c r="A628" s="35">
        <v>44351</v>
      </c>
      <c r="B628" s="36">
        <v>482</v>
      </c>
      <c r="C628" s="37" t="str">
        <f>IF(ISNA(VLOOKUP(Tableau13[[#This Row],[Code]],'Code Véhicule'!$A$4:$C$185,2,0)),"",VLOOKUP(Tableau13[[#This Row],[Code]],'Code Véhicule'!$A$4:$C$185,2,0))</f>
        <v>Pick up</v>
      </c>
      <c r="D628" s="38" t="str">
        <f>IF(ISNA(VLOOKUP(Tableau13[[#This Row],[Code]],'Code Véhicule'!$A$4:$C$185,3,0)),"",VLOOKUP(Tableau13[[#This Row],[Code]],'Code Véhicule'!$A$4:$C$185,3,0))</f>
        <v>HYUNDAI H100</v>
      </c>
      <c r="E628" s="36" t="str">
        <f>IF(ISNA(VLOOKUP(Tableau13[[#This Row],[Code]],'Code Véhicule'!$A$4:$D$185,4,0))," ",VLOOKUP(Tableau13[[#This Row],[Code]],'Code Véhicule'!$A$4:$D$185,4,0))</f>
        <v>22368-A-73</v>
      </c>
      <c r="F628" s="36">
        <v>25003</v>
      </c>
      <c r="G628" s="38" t="s">
        <v>560</v>
      </c>
      <c r="H628" s="38" t="s">
        <v>604</v>
      </c>
      <c r="I628" s="36" t="s">
        <v>304</v>
      </c>
      <c r="J628" s="39" t="s">
        <v>1180</v>
      </c>
      <c r="K628" s="36">
        <v>163636</v>
      </c>
      <c r="L628" s="40">
        <v>60</v>
      </c>
      <c r="M628" s="40">
        <f>IF(ISBLANK(Tableau13[[#This Row],[N BS]]),"",(Tableau13[[#This Row],[N BS]]-Tableau13[[#This Row],[Date début]]))</f>
        <v>119285</v>
      </c>
      <c r="N628" s="41">
        <v>44347</v>
      </c>
      <c r="O628" s="45"/>
      <c r="P628" s="45"/>
      <c r="Q628" s="176" t="e">
        <f>MONTH([1]!Tableau13[[#This Row],[Date début]])</f>
        <v>#REF!</v>
      </c>
      <c r="R628" s="180" t="e">
        <f>YEAR([1]!Tableau13[[#This Row],[Date début]])</f>
        <v>#REF!</v>
      </c>
      <c r="S628" s="44"/>
      <c r="T628" s="44"/>
    </row>
    <row r="629" spans="1:20" s="75" customFormat="1" ht="30" customHeight="1">
      <c r="A629" s="35">
        <v>44356</v>
      </c>
      <c r="B629" s="36">
        <v>431</v>
      </c>
      <c r="C629" s="37" t="str">
        <f>IF(ISNA(VLOOKUP(Tableau13[[#This Row],[Code]],'Code Véhicule'!$A$4:$C$185,2,0)),"",VLOOKUP(Tableau13[[#This Row],[Code]],'Code Véhicule'!$A$4:$C$185,2,0))</f>
        <v>Chariot elevateur</v>
      </c>
      <c r="D629" s="38" t="str">
        <f>IF(ISNA(VLOOKUP(Tableau13[[#This Row],[Code]],'Code Véhicule'!$A$4:$C$185,3,0)),"",VLOOKUP(Tableau13[[#This Row],[Code]],'Code Véhicule'!$A$4:$C$185,3,0))</f>
        <v>Manitou M26-2</v>
      </c>
      <c r="E629" s="36" t="str">
        <f>IF(ISNA(VLOOKUP(Tableau13[[#This Row],[Code]],'Code Véhicule'!$A$4:$D$185,4,0))," ",VLOOKUP(Tableau13[[#This Row],[Code]],'Code Véhicule'!$A$4:$D$185,4,0))</f>
        <v>-</v>
      </c>
      <c r="F629" s="36">
        <v>25012</v>
      </c>
      <c r="G629" s="38" t="s">
        <v>511</v>
      </c>
      <c r="H629" s="38" t="s">
        <v>928</v>
      </c>
      <c r="I629" s="36" t="s">
        <v>304</v>
      </c>
      <c r="J629" s="39" t="s">
        <v>1188</v>
      </c>
      <c r="K629" s="36">
        <v>164586</v>
      </c>
      <c r="L629" s="40">
        <v>570</v>
      </c>
      <c r="M629" s="40">
        <v>3990</v>
      </c>
      <c r="N629" s="41">
        <v>44363</v>
      </c>
      <c r="O629" s="45"/>
      <c r="P629" s="45"/>
      <c r="Q629" s="176" t="e">
        <f>MONTH([1]!Tableau13[[#This Row],[Date début]])</f>
        <v>#REF!</v>
      </c>
      <c r="R629" s="180" t="e">
        <f>YEAR([1]!Tableau13[[#This Row],[Date début]])</f>
        <v>#REF!</v>
      </c>
      <c r="S629" s="44"/>
      <c r="T629" s="44"/>
    </row>
    <row r="630" spans="1:20" s="75" customFormat="1" ht="23.25" customHeight="1">
      <c r="A630" s="35">
        <v>44359</v>
      </c>
      <c r="B630" s="36">
        <v>439</v>
      </c>
      <c r="C630" s="37" t="str">
        <f>IF(ISNA(VLOOKUP(Tableau13[[#This Row],[Code]],'Code Véhicule'!$A$4:$C$185,2,0)),"",VLOOKUP(Tableau13[[#This Row],[Code]],'Code Véhicule'!$A$4:$C$185,2,0))</f>
        <v>Semi remorque</v>
      </c>
      <c r="D630" s="38" t="str">
        <f>IF(ISNA(VLOOKUP(Tableau13[[#This Row],[Code]],'Code Véhicule'!$A$4:$C$185,3,0)),"",VLOOKUP(Tableau13[[#This Row],[Code]],'Code Véhicule'!$A$4:$C$185,3,0))</f>
        <v>VOLVO</v>
      </c>
      <c r="E630" s="36" t="str">
        <f>IF(ISNA(VLOOKUP(Tableau13[[#This Row],[Code]],'Code Véhicule'!$A$4:$D$185,4,0))," ",VLOOKUP(Tableau13[[#This Row],[Code]],'Code Véhicule'!$A$4:$D$185,4,0))</f>
        <v xml:space="preserve">17886-A-73 </v>
      </c>
      <c r="F630" s="36">
        <v>25009</v>
      </c>
      <c r="G630" s="38" t="s">
        <v>560</v>
      </c>
      <c r="H630" s="38" t="s">
        <v>604</v>
      </c>
      <c r="I630" s="36" t="s">
        <v>304</v>
      </c>
      <c r="J630" s="39" t="s">
        <v>997</v>
      </c>
      <c r="K630" s="36">
        <v>164564</v>
      </c>
      <c r="L630" s="40">
        <v>120</v>
      </c>
      <c r="M630" s="40">
        <v>120</v>
      </c>
      <c r="N630" s="41">
        <v>44359</v>
      </c>
      <c r="O630" s="45"/>
      <c r="P630" s="45"/>
      <c r="Q630" s="176" t="e">
        <f>MONTH([1]!Tableau13[[#This Row],[Date début]])</f>
        <v>#REF!</v>
      </c>
      <c r="R630" s="180" t="e">
        <f>YEAR([1]!Tableau13[[#This Row],[Date début]])</f>
        <v>#REF!</v>
      </c>
      <c r="S630" s="44"/>
      <c r="T630" s="44"/>
    </row>
    <row r="631" spans="1:20" s="75" customFormat="1" ht="45" customHeight="1">
      <c r="A631" s="35">
        <v>44360</v>
      </c>
      <c r="B631" s="36">
        <v>410</v>
      </c>
      <c r="C631" s="37" t="str">
        <f>IF(ISNA(VLOOKUP(Tableau13[[#This Row],[Code]],'Code Véhicule'!$A$4:$C$185,2,0)),"",VLOOKUP(Tableau13[[#This Row],[Code]],'Code Véhicule'!$A$4:$C$185,2,0))</f>
        <v>Semi remorque</v>
      </c>
      <c r="D631" s="38" t="str">
        <f>IF(ISNA(VLOOKUP(Tableau13[[#This Row],[Code]],'Code Véhicule'!$A$4:$C$185,3,0)),"",VLOOKUP(Tableau13[[#This Row],[Code]],'Code Véhicule'!$A$4:$C$185,3,0))</f>
        <v>MAN</v>
      </c>
      <c r="E631" s="36" t="str">
        <f>IF(ISNA(VLOOKUP(Tableau13[[#This Row],[Code]],'Code Véhicule'!$A$4:$D$185,4,0))," ",VLOOKUP(Tableau13[[#This Row],[Code]],'Code Véhicule'!$A$4:$D$185,4,0))</f>
        <v xml:space="preserve">28659-D-1 </v>
      </c>
      <c r="F631" s="36">
        <v>25010</v>
      </c>
      <c r="G631" s="38" t="s">
        <v>393</v>
      </c>
      <c r="H631" s="38" t="s">
        <v>608</v>
      </c>
      <c r="I631" s="36" t="s">
        <v>302</v>
      </c>
      <c r="J631" s="39" t="s">
        <v>1187</v>
      </c>
      <c r="K631" s="36">
        <v>164573</v>
      </c>
      <c r="L631" s="40">
        <v>60</v>
      </c>
      <c r="M631" s="40">
        <v>60</v>
      </c>
      <c r="N631" s="41">
        <v>44360</v>
      </c>
      <c r="O631" s="45"/>
      <c r="P631" s="45"/>
      <c r="Q631" s="176" t="e">
        <f>MONTH([1]!Tableau13[[#This Row],[Date début]])</f>
        <v>#REF!</v>
      </c>
      <c r="R631" s="180" t="e">
        <f>YEAR([1]!Tableau13[[#This Row],[Date début]])</f>
        <v>#REF!</v>
      </c>
      <c r="S631" s="44"/>
      <c r="T631" s="44"/>
    </row>
    <row r="632" spans="1:20" s="75" customFormat="1" ht="23.25" customHeight="1">
      <c r="A632" s="35">
        <v>44361</v>
      </c>
      <c r="B632" s="36">
        <v>436</v>
      </c>
      <c r="C632" s="37" t="str">
        <f>IF(ISNA(VLOOKUP(Tableau13[[#This Row],[Code]],'Code Véhicule'!$A$4:$C$185,2,0)),"",VLOOKUP(Tableau13[[#This Row],[Code]],'Code Véhicule'!$A$4:$C$185,2,0))</f>
        <v>Camion</v>
      </c>
      <c r="D632" s="38" t="str">
        <f>IF(ISNA(VLOOKUP(Tableau13[[#This Row],[Code]],'Code Véhicule'!$A$4:$C$185,3,0)),"",VLOOKUP(Tableau13[[#This Row],[Code]],'Code Véhicule'!$A$4:$C$185,3,0))</f>
        <v>Mitsubishi</v>
      </c>
      <c r="E632" s="36" t="str">
        <f>IF(ISNA(VLOOKUP(Tableau13[[#This Row],[Code]],'Code Véhicule'!$A$4:$D$185,4,0))," ",VLOOKUP(Tableau13[[#This Row],[Code]],'Code Véhicule'!$A$4:$D$185,4,0))</f>
        <v>11470-A-73</v>
      </c>
      <c r="F632" s="36">
        <v>25011</v>
      </c>
      <c r="G632" s="38" t="s">
        <v>560</v>
      </c>
      <c r="H632" s="38" t="s">
        <v>604</v>
      </c>
      <c r="I632" s="36" t="s">
        <v>304</v>
      </c>
      <c r="J632" s="39" t="s">
        <v>997</v>
      </c>
      <c r="K632" s="36">
        <v>164575</v>
      </c>
      <c r="L632" s="40">
        <v>60</v>
      </c>
      <c r="M632" s="40">
        <v>60</v>
      </c>
      <c r="N632" s="41">
        <v>44361</v>
      </c>
      <c r="O632" s="45"/>
      <c r="P632" s="45"/>
      <c r="Q632" s="176" t="e">
        <f>MONTH([1]!Tableau13[[#This Row],[Date début]])</f>
        <v>#REF!</v>
      </c>
      <c r="R632" s="180" t="e">
        <f>YEAR([1]!Tableau13[[#This Row],[Date début]])</f>
        <v>#REF!</v>
      </c>
      <c r="S632" s="44"/>
      <c r="T632" s="44"/>
    </row>
    <row r="633" spans="1:20" s="75" customFormat="1" ht="30">
      <c r="A633" s="35">
        <v>44361</v>
      </c>
      <c r="B633" s="36">
        <v>479</v>
      </c>
      <c r="C633" s="37" t="str">
        <f>IF(ISNA(VLOOKUP(Tableau13[[#This Row],[Code]],'Code Véhicule'!$A$4:$C$185,2,0)),"",VLOOKUP(Tableau13[[#This Row],[Code]],'Code Véhicule'!$A$4:$C$185,2,0))</f>
        <v>Bus de transport</v>
      </c>
      <c r="D633" s="38" t="str">
        <f>IF(ISNA(VLOOKUP(Tableau13[[#This Row],[Code]],'Code Véhicule'!$A$4:$C$185,3,0)),"",VLOOKUP(Tableau13[[#This Row],[Code]],'Code Véhicule'!$A$4:$C$185,3,0))</f>
        <v>Hyundai County</v>
      </c>
      <c r="E633" s="36" t="str">
        <f>IF(ISNA(VLOOKUP(Tableau13[[#This Row],[Code]],'Code Véhicule'!$A$4:$D$185,4,0))," ",VLOOKUP(Tableau13[[#This Row],[Code]],'Code Véhicule'!$A$4:$D$185,4,0))</f>
        <v>22772-A-73</v>
      </c>
      <c r="F633" s="36">
        <v>25019</v>
      </c>
      <c r="G633" s="38" t="s">
        <v>545</v>
      </c>
      <c r="H633" s="38" t="s">
        <v>620</v>
      </c>
      <c r="I633" s="36" t="s">
        <v>304</v>
      </c>
      <c r="J633" s="39" t="s">
        <v>1197</v>
      </c>
      <c r="K633" s="36">
        <v>164902</v>
      </c>
      <c r="L633" s="40">
        <v>1710</v>
      </c>
      <c r="M633" s="40">
        <v>1710</v>
      </c>
      <c r="N633" s="41">
        <v>44364</v>
      </c>
      <c r="O633" s="45"/>
      <c r="P633" s="45"/>
      <c r="Q633" s="176" t="e">
        <f>MONTH([1]!Tableau13[[#This Row],[Date début]])</f>
        <v>#REF!</v>
      </c>
      <c r="R633" s="180" t="e">
        <f>YEAR([1]!Tableau13[[#This Row],[Date début]])</f>
        <v>#REF!</v>
      </c>
      <c r="S633" s="44"/>
      <c r="T633" s="44"/>
    </row>
    <row r="634" spans="1:20" s="75" customFormat="1" ht="23.25" customHeight="1">
      <c r="A634" s="35">
        <v>44363</v>
      </c>
      <c r="B634" s="36">
        <v>434</v>
      </c>
      <c r="C634" s="37" t="str">
        <f>IF(ISNA(VLOOKUP(Tableau13[[#This Row],[Code]],'Code Véhicule'!$A$4:$C$185,2,0)),"",VLOOKUP(Tableau13[[#This Row],[Code]],'Code Véhicule'!$A$4:$C$185,2,0))</f>
        <v>Chariot elevateur</v>
      </c>
      <c r="D634" s="38" t="str">
        <f>IF(ISNA(VLOOKUP(Tableau13[[#This Row],[Code]],'Code Véhicule'!$A$4:$C$185,3,0)),"",VLOOKUP(Tableau13[[#This Row],[Code]],'Code Véhicule'!$A$4:$C$185,3,0))</f>
        <v>Linde H30D</v>
      </c>
      <c r="E634" s="36" t="str">
        <f>IF(ISNA(VLOOKUP(Tableau13[[#This Row],[Code]],'Code Véhicule'!$A$4:$D$185,4,0))," ",VLOOKUP(Tableau13[[#This Row],[Code]],'Code Véhicule'!$A$4:$D$185,4,0))</f>
        <v>-</v>
      </c>
      <c r="F634" s="36">
        <v>25017</v>
      </c>
      <c r="G634" s="38" t="s">
        <v>1193</v>
      </c>
      <c r="H634" s="38" t="s">
        <v>1194</v>
      </c>
      <c r="I634" s="36" t="s">
        <v>304</v>
      </c>
      <c r="J634" s="39" t="s">
        <v>1195</v>
      </c>
      <c r="K634" s="36">
        <v>1646593</v>
      </c>
      <c r="L634" s="40">
        <v>120</v>
      </c>
      <c r="M634" s="40">
        <v>570</v>
      </c>
      <c r="N634" s="41">
        <v>44364</v>
      </c>
      <c r="O634" s="45"/>
      <c r="P634" s="45"/>
      <c r="Q634" s="176" t="e">
        <f>MONTH([1]!Tableau13[[#This Row],[Date début]])</f>
        <v>#REF!</v>
      </c>
      <c r="R634" s="180" t="e">
        <f>YEAR([1]!Tableau13[[#This Row],[Date début]])</f>
        <v>#REF!</v>
      </c>
      <c r="S634" s="44"/>
      <c r="T634" s="44"/>
    </row>
    <row r="635" spans="1:20" s="75" customFormat="1" ht="75" customHeight="1">
      <c r="A635" s="35">
        <v>44364</v>
      </c>
      <c r="B635" s="36">
        <v>439</v>
      </c>
      <c r="C635" s="37" t="str">
        <f>IF(ISNA(VLOOKUP(Tableau13[[#This Row],[Code]],'Code Véhicule'!$A$4:$C$185,2,0)),"",VLOOKUP(Tableau13[[#This Row],[Code]],'Code Véhicule'!$A$4:$C$185,2,0))</f>
        <v>Semi remorque</v>
      </c>
      <c r="D635" s="38" t="str">
        <f>IF(ISNA(VLOOKUP(Tableau13[[#This Row],[Code]],'Code Véhicule'!$A$4:$C$185,3,0)),"",VLOOKUP(Tableau13[[#This Row],[Code]],'Code Véhicule'!$A$4:$C$185,3,0))</f>
        <v>VOLVO</v>
      </c>
      <c r="E635" s="36" t="str">
        <f>IF(ISNA(VLOOKUP(Tableau13[[#This Row],[Code]],'Code Véhicule'!$A$4:$D$185,4,0))," ",VLOOKUP(Tableau13[[#This Row],[Code]],'Code Véhicule'!$A$4:$D$185,4,0))</f>
        <v xml:space="preserve">17886-A-73 </v>
      </c>
      <c r="F635" s="36">
        <v>25013</v>
      </c>
      <c r="G635" s="38" t="s">
        <v>393</v>
      </c>
      <c r="H635" s="38" t="s">
        <v>608</v>
      </c>
      <c r="I635" s="36" t="s">
        <v>302</v>
      </c>
      <c r="J635" s="39" t="s">
        <v>1198</v>
      </c>
      <c r="K635" s="36">
        <v>164588</v>
      </c>
      <c r="L635" s="40">
        <v>180</v>
      </c>
      <c r="M635" s="40">
        <v>180</v>
      </c>
      <c r="N635" s="41">
        <v>44364</v>
      </c>
      <c r="O635" s="45"/>
      <c r="P635" s="45"/>
      <c r="Q635" s="176" t="e">
        <f>MONTH([1]!Tableau13[[#This Row],[Date début]])</f>
        <v>#REF!</v>
      </c>
      <c r="R635" s="180" t="e">
        <f>YEAR([1]!Tableau13[[#This Row],[Date début]])</f>
        <v>#REF!</v>
      </c>
      <c r="S635" s="44"/>
      <c r="T635" s="44"/>
    </row>
    <row r="636" spans="1:20" s="75" customFormat="1" ht="30" customHeight="1">
      <c r="A636" s="35">
        <v>44364</v>
      </c>
      <c r="B636" s="36">
        <v>417</v>
      </c>
      <c r="C636" s="37" t="str">
        <f>IF(ISNA(VLOOKUP(Tableau13[[#This Row],[Code]],'Code Véhicule'!$A$4:$C$185,2,0)),"",VLOOKUP(Tableau13[[#This Row],[Code]],'Code Véhicule'!$A$4:$C$185,2,0))</f>
        <v>Voiture de fonction</v>
      </c>
      <c r="D636" s="38" t="str">
        <f>IF(ISNA(VLOOKUP(Tableau13[[#This Row],[Code]],'Code Véhicule'!$A$4:$C$185,3,0)),"",VLOOKUP(Tableau13[[#This Row],[Code]],'Code Véhicule'!$A$4:$C$185,3,0))</f>
        <v>Berlingo</v>
      </c>
      <c r="E636" s="36" t="str">
        <f>IF(ISNA(VLOOKUP(Tableau13[[#This Row],[Code]],'Code Véhicule'!$A$4:$D$185,4,0))," ",VLOOKUP(Tableau13[[#This Row],[Code]],'Code Véhicule'!$A$4:$D$185,4,0))</f>
        <v>981-A-73</v>
      </c>
      <c r="F636" s="36">
        <v>25014</v>
      </c>
      <c r="G636" s="38" t="s">
        <v>511</v>
      </c>
      <c r="H636" s="38" t="s">
        <v>672</v>
      </c>
      <c r="I636" s="36" t="s">
        <v>304</v>
      </c>
      <c r="J636" s="39" t="s">
        <v>1189</v>
      </c>
      <c r="K636" s="36">
        <v>164500</v>
      </c>
      <c r="L636" s="40">
        <v>60</v>
      </c>
      <c r="M636" s="40">
        <v>60</v>
      </c>
      <c r="N636" s="41">
        <v>44364</v>
      </c>
      <c r="O636" s="45"/>
      <c r="P636" s="45"/>
      <c r="Q636" s="176" t="e">
        <f>MONTH([1]!Tableau13[[#This Row],[Date début]])</f>
        <v>#REF!</v>
      </c>
      <c r="R636" s="180" t="e">
        <f>YEAR([1]!Tableau13[[#This Row],[Date début]])</f>
        <v>#REF!</v>
      </c>
      <c r="S636" s="44"/>
      <c r="T636" s="44"/>
    </row>
    <row r="637" spans="1:20" s="75" customFormat="1" ht="23.25" customHeight="1">
      <c r="A637" s="35">
        <v>44364</v>
      </c>
      <c r="B637" s="36">
        <v>438</v>
      </c>
      <c r="C637" s="37" t="str">
        <f>IF(ISNA(VLOOKUP(Tableau13[[#This Row],[Code]],'Code Véhicule'!$A$4:$C$185,2,0)),"",VLOOKUP(Tableau13[[#This Row],[Code]],'Code Véhicule'!$A$4:$C$185,2,0))</f>
        <v>Semi remorque</v>
      </c>
      <c r="D637" s="38" t="str">
        <f>IF(ISNA(VLOOKUP(Tableau13[[#This Row],[Code]],'Code Véhicule'!$A$4:$C$185,3,0)),"",VLOOKUP(Tableau13[[#This Row],[Code]],'Code Véhicule'!$A$4:$C$185,3,0))</f>
        <v>VOLVO</v>
      </c>
      <c r="E637" s="36" t="str">
        <f>IF(ISNA(VLOOKUP(Tableau13[[#This Row],[Code]],'Code Véhicule'!$A$4:$D$185,4,0))," ",VLOOKUP(Tableau13[[#This Row],[Code]],'Code Véhicule'!$A$4:$D$185,4,0))</f>
        <v xml:space="preserve">17885-A-73 </v>
      </c>
      <c r="F637" s="36">
        <v>25015</v>
      </c>
      <c r="G637" s="38" t="s">
        <v>1008</v>
      </c>
      <c r="H637" s="38" t="s">
        <v>672</v>
      </c>
      <c r="I637" s="36" t="s">
        <v>322</v>
      </c>
      <c r="J637" s="39" t="s">
        <v>1190</v>
      </c>
      <c r="K637" s="36">
        <v>164591</v>
      </c>
      <c r="L637" s="40">
        <v>120</v>
      </c>
      <c r="M637" s="40">
        <v>120</v>
      </c>
      <c r="N637" s="41">
        <v>44364</v>
      </c>
      <c r="O637" s="45"/>
      <c r="P637" s="45"/>
      <c r="Q637" s="176" t="e">
        <f>MONTH([1]!Tableau13[[#This Row],[Date début]])</f>
        <v>#REF!</v>
      </c>
      <c r="R637" s="180" t="e">
        <f>YEAR([1]!Tableau13[[#This Row],[Date début]])</f>
        <v>#REF!</v>
      </c>
      <c r="S637" s="44"/>
      <c r="T637" s="44"/>
    </row>
    <row r="638" spans="1:20" s="75" customFormat="1" ht="23.25" customHeight="1">
      <c r="A638" s="35">
        <v>44364</v>
      </c>
      <c r="B638" s="36" t="s">
        <v>1191</v>
      </c>
      <c r="C638" s="37" t="str">
        <f>IF(ISNA(VLOOKUP(Tableau13[[#This Row],[Code]],'Code Véhicule'!$A$4:$C$185,2,0)),"",VLOOKUP(Tableau13[[#This Row],[Code]],'Code Véhicule'!$A$4:$C$185,2,0))</f>
        <v>Chargeur</v>
      </c>
      <c r="D638" s="38" t="str">
        <f>IF(ISNA(VLOOKUP(Tableau13[[#This Row],[Code]],'Code Véhicule'!$A$4:$C$185,3,0)),"",VLOOKUP(Tableau13[[#This Row],[Code]],'Code Véhicule'!$A$4:$C$185,3,0))</f>
        <v>Caterpillar</v>
      </c>
      <c r="E638" s="36" t="str">
        <f>IF(ISNA(VLOOKUP(Tableau13[[#This Row],[Code]],'Code Véhicule'!$A$4:$D$185,4,0))," ",VLOOKUP(Tableau13[[#This Row],[Code]],'Code Véhicule'!$A$4:$D$185,4,0))</f>
        <v>-</v>
      </c>
      <c r="F638" s="36">
        <v>25016</v>
      </c>
      <c r="G638" s="38" t="s">
        <v>1008</v>
      </c>
      <c r="H638" s="38" t="s">
        <v>672</v>
      </c>
      <c r="I638" s="36" t="s">
        <v>304</v>
      </c>
      <c r="J638" s="39" t="s">
        <v>1192</v>
      </c>
      <c r="K638" s="36">
        <v>164592</v>
      </c>
      <c r="L638" s="40">
        <v>60</v>
      </c>
      <c r="M638" s="40">
        <v>60</v>
      </c>
      <c r="N638" s="41">
        <v>44364</v>
      </c>
      <c r="O638" s="45"/>
      <c r="P638" s="45"/>
      <c r="Q638" s="176" t="e">
        <f>MONTH([1]!Tableau13[[#This Row],[Date début]])</f>
        <v>#REF!</v>
      </c>
      <c r="R638" s="180" t="e">
        <f>YEAR([1]!Tableau13[[#This Row],[Date début]])</f>
        <v>#REF!</v>
      </c>
      <c r="S638" s="44"/>
      <c r="T638" s="44"/>
    </row>
    <row r="639" spans="1:20" s="75" customFormat="1" ht="30" customHeight="1">
      <c r="A639" s="35">
        <v>44366</v>
      </c>
      <c r="B639" s="36">
        <v>481</v>
      </c>
      <c r="C639" s="37" t="str">
        <f>IF(ISNA(VLOOKUP(Tableau13[[#This Row],[Code]],'Code Véhicule'!$A$4:$C$185,2,0)),"",VLOOKUP(Tableau13[[#This Row],[Code]],'Code Véhicule'!$A$4:$C$185,2,0))</f>
        <v>Camion</v>
      </c>
      <c r="D639" s="38" t="str">
        <f>IF(ISNA(VLOOKUP(Tableau13[[#This Row],[Code]],'Code Véhicule'!$A$4:$C$185,3,0)),"",VLOOKUP(Tableau13[[#This Row],[Code]],'Code Véhicule'!$A$4:$C$185,3,0))</f>
        <v>VOLVO</v>
      </c>
      <c r="E639" s="36" t="str">
        <f>IF(ISNA(VLOOKUP(Tableau13[[#This Row],[Code]],'Code Véhicule'!$A$4:$D$185,4,0))," ",VLOOKUP(Tableau13[[#This Row],[Code]],'Code Véhicule'!$A$4:$D$185,4,0))</f>
        <v>22300-A-73</v>
      </c>
      <c r="F639" s="36">
        <v>25018</v>
      </c>
      <c r="G639" s="38" t="s">
        <v>511</v>
      </c>
      <c r="H639" s="38" t="s">
        <v>1151</v>
      </c>
      <c r="I639" s="36" t="s">
        <v>304</v>
      </c>
      <c r="J639" s="39" t="s">
        <v>1196</v>
      </c>
      <c r="K639" s="36">
        <v>164901</v>
      </c>
      <c r="L639" s="40">
        <v>570</v>
      </c>
      <c r="M639" s="40">
        <v>570</v>
      </c>
      <c r="N639" s="41">
        <v>44366</v>
      </c>
      <c r="O639" s="45"/>
      <c r="P639" s="45"/>
      <c r="Q639" s="176" t="e">
        <f>MONTH([1]!Tableau13[[#This Row],[Date début]])</f>
        <v>#REF!</v>
      </c>
      <c r="R639" s="180" t="e">
        <f>YEAR([1]!Tableau13[[#This Row],[Date début]])</f>
        <v>#REF!</v>
      </c>
      <c r="S639" s="44"/>
      <c r="T639" s="44"/>
    </row>
    <row r="640" spans="1:20" s="75" customFormat="1" ht="23.25" customHeight="1">
      <c r="A640" s="35">
        <v>44368</v>
      </c>
      <c r="B640" s="36" t="s">
        <v>1199</v>
      </c>
      <c r="C640" s="37" t="str">
        <f>IF(ISNA(VLOOKUP(Tableau13[[#This Row],[Code]],'Code Véhicule'!$A$4:$C$185,2,0)),"",VLOOKUP(Tableau13[[#This Row],[Code]],'Code Véhicule'!$A$4:$C$185,2,0))</f>
        <v>Chargeur</v>
      </c>
      <c r="D640" s="38" t="str">
        <f>IF(ISNA(VLOOKUP(Tableau13[[#This Row],[Code]],'Code Véhicule'!$A$4:$C$185,3,0)),"",VLOOKUP(Tableau13[[#This Row],[Code]],'Code Véhicule'!$A$4:$C$185,3,0))</f>
        <v>Caterpillar</v>
      </c>
      <c r="E640" s="36" t="str">
        <f>IF(ISNA(VLOOKUP(Tableau13[[#This Row],[Code]],'Code Véhicule'!$A$4:$D$185,4,0))," ",VLOOKUP(Tableau13[[#This Row],[Code]],'Code Véhicule'!$A$4:$D$185,4,0))</f>
        <v>-</v>
      </c>
      <c r="F640" s="36">
        <v>25020</v>
      </c>
      <c r="G640" s="38" t="s">
        <v>1200</v>
      </c>
      <c r="H640" s="38" t="s">
        <v>837</v>
      </c>
      <c r="I640" s="36" t="s">
        <v>304</v>
      </c>
      <c r="J640" s="39" t="s">
        <v>1201</v>
      </c>
      <c r="K640" s="36">
        <v>164206</v>
      </c>
      <c r="L640" s="40">
        <v>60</v>
      </c>
      <c r="M640" s="40">
        <v>60</v>
      </c>
      <c r="N640" s="41">
        <v>44368</v>
      </c>
      <c r="O640" s="45"/>
      <c r="P640" s="45"/>
      <c r="Q640" s="176" t="e">
        <f>MONTH([1]!Tableau13[[#This Row],[Date début]])</f>
        <v>#REF!</v>
      </c>
      <c r="R640" s="180" t="e">
        <f>YEAR([1]!Tableau13[[#This Row],[Date début]])</f>
        <v>#REF!</v>
      </c>
      <c r="S640" s="44"/>
      <c r="T640" s="44"/>
    </row>
    <row r="641" spans="1:20" s="75" customFormat="1" ht="23.25">
      <c r="A641" s="35">
        <v>44368</v>
      </c>
      <c r="B641" s="36">
        <v>471</v>
      </c>
      <c r="C641" s="37" t="str">
        <f>IF(ISNA(VLOOKUP(Tableau13[[#This Row],[Code]],'Code Véhicule'!$A$4:$C$185,2,0)),"",VLOOKUP(Tableau13[[#This Row],[Code]],'Code Véhicule'!$A$4:$C$185,2,0))</f>
        <v>Bus de transport</v>
      </c>
      <c r="D641" s="38" t="str">
        <f>IF(ISNA(VLOOKUP(Tableau13[[#This Row],[Code]],'Code Véhicule'!$A$4:$C$185,3,0)),"",VLOOKUP(Tableau13[[#This Row],[Code]],'Code Véhicule'!$A$4:$C$185,3,0))</f>
        <v xml:space="preserve">Hyundai County </v>
      </c>
      <c r="E641" s="36" t="str">
        <f>IF(ISNA(VLOOKUP(Tableau13[[#This Row],[Code]],'Code Véhicule'!$A$4:$D$185,4,0))," ",VLOOKUP(Tableau13[[#This Row],[Code]],'Code Véhicule'!$A$4:$D$185,4,0))</f>
        <v>18516-A-73</v>
      </c>
      <c r="F641" s="36">
        <v>25021</v>
      </c>
      <c r="G641" s="38" t="s">
        <v>560</v>
      </c>
      <c r="H641" s="38" t="s">
        <v>604</v>
      </c>
      <c r="I641" s="36" t="s">
        <v>304</v>
      </c>
      <c r="J641" s="39" t="s">
        <v>372</v>
      </c>
      <c r="K641" s="36">
        <v>164909</v>
      </c>
      <c r="L641" s="40">
        <v>60</v>
      </c>
      <c r="M641" s="40">
        <v>60</v>
      </c>
      <c r="N641" s="41">
        <v>44368</v>
      </c>
      <c r="O641" s="45"/>
      <c r="P641" s="45"/>
      <c r="Q641" s="176" t="e">
        <f>MONTH([1]!Tableau13[[#This Row],[Date début]])</f>
        <v>#REF!</v>
      </c>
      <c r="R641" s="180" t="e">
        <f>YEAR([1]!Tableau13[[#This Row],[Date début]])</f>
        <v>#REF!</v>
      </c>
      <c r="S641" s="44"/>
      <c r="T641" s="44"/>
    </row>
    <row r="642" spans="1:20" s="75" customFormat="1" ht="23.25" customHeight="1">
      <c r="A642" s="35">
        <v>44369</v>
      </c>
      <c r="B642" s="36">
        <v>439</v>
      </c>
      <c r="C642" s="37" t="str">
        <f>IF(ISNA(VLOOKUP(Tableau13[[#This Row],[Code]],'Code Véhicule'!$A$4:$C$185,2,0)),"",VLOOKUP(Tableau13[[#This Row],[Code]],'Code Véhicule'!$A$4:$C$185,2,0))</f>
        <v>Semi remorque</v>
      </c>
      <c r="D642" s="38" t="str">
        <f>IF(ISNA(VLOOKUP(Tableau13[[#This Row],[Code]],'Code Véhicule'!$A$4:$C$185,3,0)),"",VLOOKUP(Tableau13[[#This Row],[Code]],'Code Véhicule'!$A$4:$C$185,3,0))</f>
        <v>VOLVO</v>
      </c>
      <c r="E642" s="36" t="str">
        <f>IF(ISNA(VLOOKUP(Tableau13[[#This Row],[Code]],'Code Véhicule'!$A$4:$D$185,4,0))," ",VLOOKUP(Tableau13[[#This Row],[Code]],'Code Véhicule'!$A$4:$D$185,4,0))</f>
        <v xml:space="preserve">17886-A-73 </v>
      </c>
      <c r="F642" s="36">
        <v>25022</v>
      </c>
      <c r="G642" s="38" t="s">
        <v>560</v>
      </c>
      <c r="H642" s="38" t="s">
        <v>604</v>
      </c>
      <c r="I642" s="36" t="s">
        <v>304</v>
      </c>
      <c r="J642" s="39" t="s">
        <v>530</v>
      </c>
      <c r="K642" s="36">
        <v>164917</v>
      </c>
      <c r="L642" s="40">
        <v>120</v>
      </c>
      <c r="M642" s="40">
        <v>120</v>
      </c>
      <c r="N642" s="41">
        <v>44369</v>
      </c>
      <c r="O642" s="45"/>
      <c r="P642" s="45"/>
      <c r="Q642" s="176" t="e">
        <f>MONTH([1]!Tableau13[[#This Row],[Date début]])</f>
        <v>#REF!</v>
      </c>
      <c r="R642" s="180" t="e">
        <f>YEAR([1]!Tableau13[[#This Row],[Date début]])</f>
        <v>#REF!</v>
      </c>
      <c r="S642" s="44"/>
      <c r="T642" s="44"/>
    </row>
    <row r="643" spans="1:20" s="75" customFormat="1" ht="60" customHeight="1">
      <c r="A643" s="35">
        <v>44369</v>
      </c>
      <c r="B643" s="36">
        <v>435</v>
      </c>
      <c r="C643" s="37" t="str">
        <f>IF(ISNA(VLOOKUP(Tableau13[[#This Row],[Code]],'Code Véhicule'!$A$4:$C$185,2,0)),"",VLOOKUP(Tableau13[[#This Row],[Code]],'Code Véhicule'!$A$4:$C$185,2,0))</f>
        <v>Camion</v>
      </c>
      <c r="D643" s="38" t="str">
        <f>IF(ISNA(VLOOKUP(Tableau13[[#This Row],[Code]],'Code Véhicule'!$A$4:$C$185,3,0)),"",VLOOKUP(Tableau13[[#This Row],[Code]],'Code Véhicule'!$A$4:$C$185,3,0))</f>
        <v>Mitsubishi</v>
      </c>
      <c r="E643" s="36" t="str">
        <f>IF(ISNA(VLOOKUP(Tableau13[[#This Row],[Code]],'Code Véhicule'!$A$4:$D$185,4,0))," ",VLOOKUP(Tableau13[[#This Row],[Code]],'Code Véhicule'!$A$4:$D$185,4,0))</f>
        <v xml:space="preserve"> 11469-A-73</v>
      </c>
      <c r="F643" s="36">
        <v>25032</v>
      </c>
      <c r="G643" s="38" t="s">
        <v>1212</v>
      </c>
      <c r="H643" s="38" t="s">
        <v>1017</v>
      </c>
      <c r="I643" s="36" t="s">
        <v>304</v>
      </c>
      <c r="J643" s="39" t="s">
        <v>1213</v>
      </c>
      <c r="K643" s="36">
        <v>164943</v>
      </c>
      <c r="L643" s="40">
        <v>1140</v>
      </c>
      <c r="M643" s="40">
        <v>1140</v>
      </c>
      <c r="N643" s="41">
        <v>44373</v>
      </c>
      <c r="O643" s="45"/>
      <c r="P643" s="45"/>
      <c r="Q643" s="176" t="e">
        <f>MONTH([1]!Tableau13[[#This Row],[Date début]])</f>
        <v>#REF!</v>
      </c>
      <c r="R643" s="180" t="e">
        <f>YEAR([1]!Tableau13[[#This Row],[Date début]])</f>
        <v>#REF!</v>
      </c>
      <c r="S643" s="44"/>
      <c r="T643" s="44"/>
    </row>
    <row r="644" spans="1:20" s="75" customFormat="1" ht="30" customHeight="1">
      <c r="A644" s="35">
        <v>44370</v>
      </c>
      <c r="B644" s="36">
        <v>408</v>
      </c>
      <c r="C644" s="37" t="str">
        <f>IF(ISNA(VLOOKUP(Tableau13[[#This Row],[Code]],'Code Véhicule'!$A$4:$C$185,2,0)),"",VLOOKUP(Tableau13[[#This Row],[Code]],'Code Véhicule'!$A$4:$C$185,2,0))</f>
        <v>Camion</v>
      </c>
      <c r="D644" s="38" t="str">
        <f>IF(ISNA(VLOOKUP(Tableau13[[#This Row],[Code]],'Code Véhicule'!$A$4:$C$185,3,0)),"",VLOOKUP(Tableau13[[#This Row],[Code]],'Code Véhicule'!$A$4:$C$185,3,0))</f>
        <v>Mitsubishi</v>
      </c>
      <c r="E644" s="36" t="str">
        <f>IF(ISNA(VLOOKUP(Tableau13[[#This Row],[Code]],'Code Véhicule'!$A$4:$D$185,4,0))," ",VLOOKUP(Tableau13[[#This Row],[Code]],'Code Véhicule'!$A$4:$D$185,4,0))</f>
        <v>4703-A-73</v>
      </c>
      <c r="F644" s="36">
        <v>25023</v>
      </c>
      <c r="G644" s="38" t="s">
        <v>353</v>
      </c>
      <c r="H644" s="38" t="s">
        <v>1034</v>
      </c>
      <c r="I644" s="36" t="s">
        <v>304</v>
      </c>
      <c r="J644" s="39" t="s">
        <v>1202</v>
      </c>
      <c r="K644" s="36">
        <v>164918</v>
      </c>
      <c r="L644" s="40">
        <v>120</v>
      </c>
      <c r="M644" s="40">
        <v>120</v>
      </c>
      <c r="N644" s="41">
        <v>44369</v>
      </c>
      <c r="O644" s="45"/>
      <c r="P644" s="45"/>
      <c r="Q644" s="176" t="e">
        <f>MONTH([1]!Tableau13[[#This Row],[Date début]])</f>
        <v>#REF!</v>
      </c>
      <c r="R644" s="180" t="e">
        <f>YEAR([1]!Tableau13[[#This Row],[Date début]])</f>
        <v>#REF!</v>
      </c>
      <c r="S644" s="44"/>
      <c r="T644" s="44"/>
    </row>
    <row r="645" spans="1:20" s="75" customFormat="1" ht="23.25" customHeight="1">
      <c r="A645" s="35">
        <v>44370</v>
      </c>
      <c r="B645" s="36">
        <v>438</v>
      </c>
      <c r="C645" s="37" t="str">
        <f>IF(ISNA(VLOOKUP(Tableau13[[#This Row],[Code]],'Code Véhicule'!$A$4:$C$185,2,0)),"",VLOOKUP(Tableau13[[#This Row],[Code]],'Code Véhicule'!$A$4:$C$185,2,0))</f>
        <v>Semi remorque</v>
      </c>
      <c r="D645" s="38" t="str">
        <f>IF(ISNA(VLOOKUP(Tableau13[[#This Row],[Code]],'Code Véhicule'!$A$4:$C$185,3,0)),"",VLOOKUP(Tableau13[[#This Row],[Code]],'Code Véhicule'!$A$4:$C$185,3,0))</f>
        <v>VOLVO</v>
      </c>
      <c r="E645" s="36" t="str">
        <f>IF(ISNA(VLOOKUP(Tableau13[[#This Row],[Code]],'Code Véhicule'!$A$4:$D$185,4,0))," ",VLOOKUP(Tableau13[[#This Row],[Code]],'Code Véhicule'!$A$4:$D$185,4,0))</f>
        <v xml:space="preserve">17885-A-73 </v>
      </c>
      <c r="F645" s="36">
        <v>25025</v>
      </c>
      <c r="G645" s="38" t="s">
        <v>560</v>
      </c>
      <c r="H645" s="38" t="s">
        <v>604</v>
      </c>
      <c r="I645" s="36" t="s">
        <v>304</v>
      </c>
      <c r="J645" s="39" t="s">
        <v>1205</v>
      </c>
      <c r="K645" s="36">
        <v>164921</v>
      </c>
      <c r="L645" s="40">
        <v>60</v>
      </c>
      <c r="M645" s="40">
        <v>60</v>
      </c>
      <c r="N645" s="41">
        <v>44370</v>
      </c>
      <c r="O645" s="45"/>
      <c r="P645" s="45"/>
      <c r="Q645" s="176" t="e">
        <f>MONTH([1]!Tableau13[[#This Row],[Date début]])</f>
        <v>#REF!</v>
      </c>
      <c r="R645" s="180" t="e">
        <f>YEAR([1]!Tableau13[[#This Row],[Date début]])</f>
        <v>#REF!</v>
      </c>
      <c r="S645" s="44"/>
      <c r="T645" s="44"/>
    </row>
    <row r="646" spans="1:20" s="75" customFormat="1" ht="45" customHeight="1">
      <c r="A646" s="35">
        <v>44370</v>
      </c>
      <c r="B646" s="36">
        <v>414</v>
      </c>
      <c r="C646" s="37" t="str">
        <f>IF(ISNA(VLOOKUP(Tableau13[[#This Row],[Code]],'Code Véhicule'!$A$4:$C$185,2,0)),"",VLOOKUP(Tableau13[[#This Row],[Code]],'Code Véhicule'!$A$4:$C$185,2,0))</f>
        <v>Balayeuse</v>
      </c>
      <c r="D646" s="38" t="str">
        <f>IF(ISNA(VLOOKUP(Tableau13[[#This Row],[Code]],'Code Véhicule'!$A$4:$C$185,3,0)),"",VLOOKUP(Tableau13[[#This Row],[Code]],'Code Véhicule'!$A$4:$C$185,3,0))</f>
        <v>Bobcat</v>
      </c>
      <c r="E646" s="36" t="str">
        <f>IF(ISNA(VLOOKUP(Tableau13[[#This Row],[Code]],'Code Véhicule'!$A$4:$D$185,4,0))," ",VLOOKUP(Tableau13[[#This Row],[Code]],'Code Véhicule'!$A$4:$D$185,4,0))</f>
        <v>-</v>
      </c>
      <c r="F646" s="36">
        <v>25026</v>
      </c>
      <c r="G646" s="38" t="s">
        <v>393</v>
      </c>
      <c r="H646" s="38" t="s">
        <v>608</v>
      </c>
      <c r="I646" s="36" t="s">
        <v>302</v>
      </c>
      <c r="J646" s="39" t="s">
        <v>1208</v>
      </c>
      <c r="K646" s="36">
        <v>164922</v>
      </c>
      <c r="L646" s="40">
        <v>60</v>
      </c>
      <c r="M646" s="40">
        <v>60</v>
      </c>
      <c r="N646" s="41">
        <v>44370</v>
      </c>
      <c r="O646" s="45"/>
      <c r="P646" s="45"/>
      <c r="Q646" s="176" t="e">
        <f>MONTH([1]!Tableau13[[#This Row],[Date début]])</f>
        <v>#REF!</v>
      </c>
      <c r="R646" s="180" t="e">
        <f>YEAR([1]!Tableau13[[#This Row],[Date début]])</f>
        <v>#REF!</v>
      </c>
      <c r="S646" s="44"/>
      <c r="T646" s="44"/>
    </row>
    <row r="647" spans="1:20" s="75" customFormat="1" ht="23.25" customHeight="1">
      <c r="A647" s="35">
        <v>44371</v>
      </c>
      <c r="B647" s="36">
        <v>410</v>
      </c>
      <c r="C647" s="37" t="str">
        <f>IF(ISNA(VLOOKUP(Tableau13[[#This Row],[Code]],'Code Véhicule'!$A$4:$C$185,2,0)),"",VLOOKUP(Tableau13[[#This Row],[Code]],'Code Véhicule'!$A$4:$C$185,2,0))</f>
        <v>Semi remorque</v>
      </c>
      <c r="D647" s="38" t="str">
        <f>IF(ISNA(VLOOKUP(Tableau13[[#This Row],[Code]],'Code Véhicule'!$A$4:$C$185,3,0)),"",VLOOKUP(Tableau13[[#This Row],[Code]],'Code Véhicule'!$A$4:$C$185,3,0))</f>
        <v>MAN</v>
      </c>
      <c r="E647" s="36" t="str">
        <f>IF(ISNA(VLOOKUP(Tableau13[[#This Row],[Code]],'Code Véhicule'!$A$4:$D$185,4,0))," ",VLOOKUP(Tableau13[[#This Row],[Code]],'Code Véhicule'!$A$4:$D$185,4,0))</f>
        <v xml:space="preserve">28659-D-1 </v>
      </c>
      <c r="F647" s="36">
        <v>25024</v>
      </c>
      <c r="G647" s="38" t="s">
        <v>523</v>
      </c>
      <c r="H647" s="38" t="s">
        <v>1203</v>
      </c>
      <c r="I647" s="36" t="s">
        <v>304</v>
      </c>
      <c r="J647" s="39" t="s">
        <v>1204</v>
      </c>
      <c r="K647" s="36">
        <v>164919</v>
      </c>
      <c r="L647" s="40">
        <v>240</v>
      </c>
      <c r="M647" s="40">
        <v>240</v>
      </c>
      <c r="N647" s="41">
        <v>44371</v>
      </c>
      <c r="O647" s="45"/>
      <c r="P647" s="45"/>
      <c r="Q647" s="176" t="e">
        <f>MONTH([1]!Tableau13[[#This Row],[Date début]])</f>
        <v>#REF!</v>
      </c>
      <c r="R647" s="180" t="e">
        <f>YEAR([1]!Tableau13[[#This Row],[Date début]])</f>
        <v>#REF!</v>
      </c>
      <c r="S647" s="44"/>
      <c r="T647" s="44"/>
    </row>
    <row r="648" spans="1:20" s="75" customFormat="1" ht="23.25" customHeight="1">
      <c r="A648" s="35">
        <v>44371</v>
      </c>
      <c r="B648" s="36">
        <v>410</v>
      </c>
      <c r="C648" s="37" t="str">
        <f>IF(ISNA(VLOOKUP(Tableau13[[#This Row],[Code]],'Code Véhicule'!$A$4:$C$185,2,0)),"",VLOOKUP(Tableau13[[#This Row],[Code]],'Code Véhicule'!$A$4:$C$185,2,0))</f>
        <v>Semi remorque</v>
      </c>
      <c r="D648" s="38" t="str">
        <f>IF(ISNA(VLOOKUP(Tableau13[[#This Row],[Code]],'Code Véhicule'!$A$4:$C$185,3,0)),"",VLOOKUP(Tableau13[[#This Row],[Code]],'Code Véhicule'!$A$4:$C$185,3,0))</f>
        <v>MAN</v>
      </c>
      <c r="E648" s="36" t="str">
        <f>IF(ISNA(VLOOKUP(Tableau13[[#This Row],[Code]],'Code Véhicule'!$A$4:$D$185,4,0))," ",VLOOKUP(Tableau13[[#This Row],[Code]],'Code Véhicule'!$A$4:$D$185,4,0))</f>
        <v xml:space="preserve">28659-D-1 </v>
      </c>
      <c r="F648" s="36">
        <v>25027</v>
      </c>
      <c r="G648" s="38" t="s">
        <v>560</v>
      </c>
      <c r="H648" s="38" t="s">
        <v>604</v>
      </c>
      <c r="I648" s="36" t="s">
        <v>304</v>
      </c>
      <c r="J648" s="39" t="s">
        <v>530</v>
      </c>
      <c r="K648" s="36">
        <v>164923</v>
      </c>
      <c r="L648" s="40">
        <v>60</v>
      </c>
      <c r="M648" s="40">
        <v>60</v>
      </c>
      <c r="N648" s="41">
        <v>44371</v>
      </c>
      <c r="O648" s="45"/>
      <c r="P648" s="45"/>
      <c r="Q648" s="176" t="e">
        <f>MONTH([1]!Tableau13[[#This Row],[Date début]])</f>
        <v>#REF!</v>
      </c>
      <c r="R648" s="180" t="e">
        <f>YEAR([1]!Tableau13[[#This Row],[Date début]])</f>
        <v>#REF!</v>
      </c>
      <c r="S648" s="44"/>
      <c r="T648" s="44"/>
    </row>
    <row r="649" spans="1:20" s="75" customFormat="1" ht="23.25" customHeight="1">
      <c r="A649" s="35">
        <v>44372</v>
      </c>
      <c r="B649" s="36">
        <v>480</v>
      </c>
      <c r="C649" s="37" t="str">
        <f>IF(ISNA(VLOOKUP(Tableau13[[#This Row],[Code]],'Code Véhicule'!$A$4:$C$185,2,0)),"",VLOOKUP(Tableau13[[#This Row],[Code]],'Code Véhicule'!$A$4:$C$185,2,0))</f>
        <v>Camion</v>
      </c>
      <c r="D649" s="38" t="str">
        <f>IF(ISNA(VLOOKUP(Tableau13[[#This Row],[Code]],'Code Véhicule'!$A$4:$C$185,3,0)),"",VLOOKUP(Tableau13[[#This Row],[Code]],'Code Véhicule'!$A$4:$C$185,3,0))</f>
        <v>VOLVO</v>
      </c>
      <c r="E649" s="36" t="str">
        <f>IF(ISNA(VLOOKUP(Tableau13[[#This Row],[Code]],'Code Véhicule'!$A$4:$D$185,4,0))," ",VLOOKUP(Tableau13[[#This Row],[Code]],'Code Véhicule'!$A$4:$D$185,4,0))</f>
        <v>22299-A-73</v>
      </c>
      <c r="F649" s="36">
        <v>25028</v>
      </c>
      <c r="G649" s="38" t="s">
        <v>1206</v>
      </c>
      <c r="H649" s="38" t="s">
        <v>1034</v>
      </c>
      <c r="I649" s="36" t="s">
        <v>304</v>
      </c>
      <c r="J649" s="39" t="s">
        <v>1207</v>
      </c>
      <c r="K649" s="36">
        <v>164927</v>
      </c>
      <c r="L649" s="40">
        <v>30</v>
      </c>
      <c r="M649" s="40">
        <v>30</v>
      </c>
      <c r="N649" s="41">
        <v>44372</v>
      </c>
      <c r="O649" s="45"/>
      <c r="P649" s="45"/>
      <c r="Q649" s="176" t="e">
        <f>MONTH([1]!Tableau13[[#This Row],[Date début]])</f>
        <v>#REF!</v>
      </c>
      <c r="R649" s="180" t="e">
        <f>YEAR([1]!Tableau13[[#This Row],[Date début]])</f>
        <v>#REF!</v>
      </c>
      <c r="S649" s="44"/>
      <c r="T649" s="44"/>
    </row>
    <row r="650" spans="1:20" s="75" customFormat="1" ht="23.25" customHeight="1">
      <c r="A650" s="35">
        <v>44372</v>
      </c>
      <c r="B650" s="36">
        <v>406</v>
      </c>
      <c r="C650" s="37" t="str">
        <f>IF(ISNA(VLOOKUP(Tableau13[[#This Row],[Code]],'Code Véhicule'!$A$4:$C$185,2,0)),"",VLOOKUP(Tableau13[[#This Row],[Code]],'Code Véhicule'!$A$4:$C$185,2,0))</f>
        <v>Semi remorque</v>
      </c>
      <c r="D650" s="38" t="str">
        <f>IF(ISNA(VLOOKUP(Tableau13[[#This Row],[Code]],'Code Véhicule'!$A$4:$C$185,3,0)),"",VLOOKUP(Tableau13[[#This Row],[Code]],'Code Véhicule'!$A$4:$C$185,3,0))</f>
        <v>VOLVO</v>
      </c>
      <c r="E650" s="36" t="str">
        <f>IF(ISNA(VLOOKUP(Tableau13[[#This Row],[Code]],'Code Véhicule'!$A$4:$D$185,4,0))," ",VLOOKUP(Tableau13[[#This Row],[Code]],'Code Véhicule'!$A$4:$D$185,4,0))</f>
        <v>70352-A-6</v>
      </c>
      <c r="F650" s="36">
        <v>25029</v>
      </c>
      <c r="G650" s="38" t="s">
        <v>537</v>
      </c>
      <c r="H650" s="38" t="s">
        <v>1031</v>
      </c>
      <c r="I650" s="36" t="s">
        <v>304</v>
      </c>
      <c r="J650" s="39" t="s">
        <v>1209</v>
      </c>
      <c r="K650" s="36">
        <v>164928</v>
      </c>
      <c r="L650" s="40">
        <v>120</v>
      </c>
      <c r="M650" s="40">
        <v>120</v>
      </c>
      <c r="N650" s="41">
        <v>44372</v>
      </c>
      <c r="O650" s="45"/>
      <c r="P650" s="45"/>
      <c r="Q650" s="176" t="e">
        <f>MONTH([1]!Tableau13[[#This Row],[Date début]])</f>
        <v>#REF!</v>
      </c>
      <c r="R650" s="180" t="e">
        <f>YEAR([1]!Tableau13[[#This Row],[Date début]])</f>
        <v>#REF!</v>
      </c>
      <c r="S650" s="44"/>
      <c r="T650" s="44"/>
    </row>
    <row r="651" spans="1:20" s="75" customFormat="1" ht="30" customHeight="1">
      <c r="A651" s="35">
        <v>44372</v>
      </c>
      <c r="B651" s="36">
        <v>480</v>
      </c>
      <c r="C651" s="37" t="str">
        <f>IF(ISNA(VLOOKUP(Tableau13[[#This Row],[Code]],'Code Véhicule'!$A$4:$C$185,2,0)),"",VLOOKUP(Tableau13[[#This Row],[Code]],'Code Véhicule'!$A$4:$C$185,2,0))</f>
        <v>Camion</v>
      </c>
      <c r="D651" s="38" t="str">
        <f>IF(ISNA(VLOOKUP(Tableau13[[#This Row],[Code]],'Code Véhicule'!$A$4:$C$185,3,0)),"",VLOOKUP(Tableau13[[#This Row],[Code]],'Code Véhicule'!$A$4:$C$185,3,0))</f>
        <v>VOLVO</v>
      </c>
      <c r="E651" s="36" t="str">
        <f>IF(ISNA(VLOOKUP(Tableau13[[#This Row],[Code]],'Code Véhicule'!$A$4:$D$185,4,0))," ",VLOOKUP(Tableau13[[#This Row],[Code]],'Code Véhicule'!$A$4:$D$185,4,0))</f>
        <v>22299-A-73</v>
      </c>
      <c r="F651" s="36">
        <v>25030</v>
      </c>
      <c r="G651" s="38" t="s">
        <v>393</v>
      </c>
      <c r="H651" s="38" t="s">
        <v>608</v>
      </c>
      <c r="I651" s="36" t="s">
        <v>304</v>
      </c>
      <c r="J651" s="39" t="s">
        <v>1210</v>
      </c>
      <c r="K651" s="36">
        <v>164929</v>
      </c>
      <c r="L651" s="40">
        <v>180</v>
      </c>
      <c r="M651" s="40">
        <v>180</v>
      </c>
      <c r="N651" s="41">
        <v>44372</v>
      </c>
      <c r="O651" s="45"/>
      <c r="P651" s="45"/>
      <c r="Q651" s="176" t="e">
        <f>MONTH([1]!Tableau13[[#This Row],[Date début]])</f>
        <v>#REF!</v>
      </c>
      <c r="R651" s="180" t="e">
        <f>YEAR([1]!Tableau13[[#This Row],[Date début]])</f>
        <v>#REF!</v>
      </c>
      <c r="S651" s="44"/>
      <c r="T651" s="44"/>
    </row>
    <row r="652" spans="1:20" s="75" customFormat="1" ht="45" customHeight="1">
      <c r="A652" s="35">
        <v>44372</v>
      </c>
      <c r="B652" s="36">
        <v>438</v>
      </c>
      <c r="C652" s="37" t="str">
        <f>IF(ISNA(VLOOKUP(Tableau13[[#This Row],[Code]],'Code Véhicule'!$A$4:$C$185,2,0)),"",VLOOKUP(Tableau13[[#This Row],[Code]],'Code Véhicule'!$A$4:$C$185,2,0))</f>
        <v>Semi remorque</v>
      </c>
      <c r="D652" s="38" t="str">
        <f>IF(ISNA(VLOOKUP(Tableau13[[#This Row],[Code]],'Code Véhicule'!$A$4:$C$185,3,0)),"",VLOOKUP(Tableau13[[#This Row],[Code]],'Code Véhicule'!$A$4:$C$185,3,0))</f>
        <v>VOLVO</v>
      </c>
      <c r="E652" s="36" t="str">
        <f>IF(ISNA(VLOOKUP(Tableau13[[#This Row],[Code]],'Code Véhicule'!$A$4:$D$185,4,0))," ",VLOOKUP(Tableau13[[#This Row],[Code]],'Code Véhicule'!$A$4:$D$185,4,0))</f>
        <v xml:space="preserve">17885-A-73 </v>
      </c>
      <c r="F652" s="36">
        <v>25031</v>
      </c>
      <c r="G652" s="38" t="s">
        <v>393</v>
      </c>
      <c r="H652" s="38" t="s">
        <v>608</v>
      </c>
      <c r="I652" s="36" t="s">
        <v>322</v>
      </c>
      <c r="J652" s="39" t="s">
        <v>1211</v>
      </c>
      <c r="K652" s="36">
        <v>164931</v>
      </c>
      <c r="L652" s="40">
        <v>120</v>
      </c>
      <c r="M652" s="40">
        <v>120</v>
      </c>
      <c r="N652" s="41">
        <v>44372</v>
      </c>
      <c r="O652" s="45"/>
      <c r="P652" s="45"/>
      <c r="Q652" s="176" t="e">
        <f>MONTH([1]!Tableau13[[#This Row],[Date début]])</f>
        <v>#REF!</v>
      </c>
      <c r="R652" s="180" t="e">
        <f>YEAR([1]!Tableau13[[#This Row],[Date début]])</f>
        <v>#REF!</v>
      </c>
      <c r="S652" s="44"/>
      <c r="T652" s="44"/>
    </row>
    <row r="653" spans="1:20" s="75" customFormat="1" ht="90" customHeight="1">
      <c r="A653" s="35">
        <v>44377</v>
      </c>
      <c r="B653" s="36">
        <v>438</v>
      </c>
      <c r="C653" s="37" t="str">
        <f>IF(ISNA(VLOOKUP(Tableau13[[#This Row],[Code]],'Code Véhicule'!$A$4:$C$185,2,0)),"",VLOOKUP(Tableau13[[#This Row],[Code]],'Code Véhicule'!$A$4:$C$185,2,0))</f>
        <v>Semi remorque</v>
      </c>
      <c r="D653" s="38" t="str">
        <f>IF(ISNA(VLOOKUP(Tableau13[[#This Row],[Code]],'Code Véhicule'!$A$4:$C$185,3,0)),"",VLOOKUP(Tableau13[[#This Row],[Code]],'Code Véhicule'!$A$4:$C$185,3,0))</f>
        <v>VOLVO</v>
      </c>
      <c r="E653" s="36" t="str">
        <f>IF(ISNA(VLOOKUP(Tableau13[[#This Row],[Code]],'Code Véhicule'!$A$4:$D$185,4,0))," ",VLOOKUP(Tableau13[[#This Row],[Code]],'Code Véhicule'!$A$4:$D$185,4,0))</f>
        <v xml:space="preserve">17885-A-73 </v>
      </c>
      <c r="F653" s="36">
        <v>25033</v>
      </c>
      <c r="G653" s="38" t="s">
        <v>1212</v>
      </c>
      <c r="H653" s="38" t="s">
        <v>1215</v>
      </c>
      <c r="I653" s="36" t="s">
        <v>304</v>
      </c>
      <c r="J653" s="39" t="s">
        <v>1214</v>
      </c>
      <c r="K653" s="36"/>
      <c r="L653" s="40">
        <v>1710</v>
      </c>
      <c r="M653" s="40">
        <v>1710</v>
      </c>
      <c r="N653" s="41">
        <v>44379</v>
      </c>
      <c r="O653" s="45"/>
      <c r="P653" s="45"/>
      <c r="Q653" s="176" t="e">
        <f>MONTH([1]!Tableau13[[#This Row],[Date début]])</f>
        <v>#REF!</v>
      </c>
      <c r="R653" s="180" t="e">
        <f>YEAR([1]!Tableau13[[#This Row],[Date début]])</f>
        <v>#REF!</v>
      </c>
      <c r="S653" s="44"/>
      <c r="T653" s="44"/>
    </row>
    <row r="654" spans="1:20" s="75" customFormat="1" ht="23.25" customHeight="1">
      <c r="A654" s="35">
        <v>44377</v>
      </c>
      <c r="B654" s="36">
        <v>438</v>
      </c>
      <c r="C654" s="37" t="str">
        <f>IF(ISNA(VLOOKUP(Tableau13[[#This Row],[Code]],'Code Véhicule'!$A$4:$C$185,2,0)),"",VLOOKUP(Tableau13[[#This Row],[Code]],'Code Véhicule'!$A$4:$C$185,2,0))</f>
        <v>Semi remorque</v>
      </c>
      <c r="D654" s="38" t="str">
        <f>IF(ISNA(VLOOKUP(Tableau13[[#This Row],[Code]],'Code Véhicule'!$A$4:$C$185,3,0)),"",VLOOKUP(Tableau13[[#This Row],[Code]],'Code Véhicule'!$A$4:$C$185,3,0))</f>
        <v>VOLVO</v>
      </c>
      <c r="E654" s="36" t="str">
        <f>IF(ISNA(VLOOKUP(Tableau13[[#This Row],[Code]],'Code Véhicule'!$A$4:$D$185,4,0))," ",VLOOKUP(Tableau13[[#This Row],[Code]],'Code Véhicule'!$A$4:$D$185,4,0))</f>
        <v xml:space="preserve">17885-A-73 </v>
      </c>
      <c r="F654" s="36">
        <v>25615</v>
      </c>
      <c r="G654" s="38" t="s">
        <v>1146</v>
      </c>
      <c r="H654" s="38" t="s">
        <v>1215</v>
      </c>
      <c r="I654" s="36" t="s">
        <v>304</v>
      </c>
      <c r="J654" s="39" t="s">
        <v>1241</v>
      </c>
      <c r="K654" s="36" t="s">
        <v>304</v>
      </c>
      <c r="L654" s="40">
        <v>1140</v>
      </c>
      <c r="M654" s="40">
        <v>1140</v>
      </c>
      <c r="N654" s="41">
        <v>44379</v>
      </c>
      <c r="O654" s="45"/>
      <c r="P654" s="45"/>
      <c r="Q654" s="176" t="e">
        <f>MONTH([1]!Tableau13[[#This Row],[Date début]])</f>
        <v>#REF!</v>
      </c>
      <c r="R654" s="180" t="e">
        <f>YEAR([1]!Tableau13[[#This Row],[Date début]])</f>
        <v>#REF!</v>
      </c>
      <c r="S654" s="44"/>
      <c r="T654" s="44"/>
    </row>
    <row r="655" spans="1:20" s="75" customFormat="1" ht="30" customHeight="1">
      <c r="A655" s="35">
        <v>44382</v>
      </c>
      <c r="B655" s="36">
        <v>431</v>
      </c>
      <c r="C655" s="37" t="str">
        <f>IF(ISNA(VLOOKUP(Tableau13[[#This Row],[Code]],'Code Véhicule'!$A$4:$C$185,2,0)),"",VLOOKUP(Tableau13[[#This Row],[Code]],'Code Véhicule'!$A$4:$C$185,2,0))</f>
        <v>Chariot elevateur</v>
      </c>
      <c r="D655" s="38" t="str">
        <f>IF(ISNA(VLOOKUP(Tableau13[[#This Row],[Code]],'Code Véhicule'!$A$4:$C$185,3,0)),"",VLOOKUP(Tableau13[[#This Row],[Code]],'Code Véhicule'!$A$4:$C$185,3,0))</f>
        <v>Manitou M26-2</v>
      </c>
      <c r="E655" s="36" t="str">
        <f>IF(ISNA(VLOOKUP(Tableau13[[#This Row],[Code]],'Code Véhicule'!$A$4:$D$185,4,0))," ",VLOOKUP(Tableau13[[#This Row],[Code]],'Code Véhicule'!$A$4:$D$185,4,0))</f>
        <v>-</v>
      </c>
      <c r="F655" s="36">
        <v>25601</v>
      </c>
      <c r="G655" s="38" t="s">
        <v>610</v>
      </c>
      <c r="H655" s="38" t="s">
        <v>1219</v>
      </c>
      <c r="I655" s="36" t="s">
        <v>304</v>
      </c>
      <c r="J655" s="39" t="s">
        <v>1220</v>
      </c>
      <c r="K655" s="36" t="s">
        <v>1221</v>
      </c>
      <c r="L655" s="40">
        <v>360</v>
      </c>
      <c r="M655" s="40">
        <v>360</v>
      </c>
      <c r="N655" s="41">
        <v>44382</v>
      </c>
      <c r="O655" s="45"/>
      <c r="P655" s="45"/>
      <c r="Q655" s="176" t="e">
        <f>MONTH([1]!Tableau13[[#This Row],[Date début]])</f>
        <v>#REF!</v>
      </c>
      <c r="R655" s="180" t="e">
        <f>YEAR([1]!Tableau13[[#This Row],[Date début]])</f>
        <v>#REF!</v>
      </c>
      <c r="S655" s="44"/>
      <c r="T655" s="44"/>
    </row>
    <row r="656" spans="1:20" s="75" customFormat="1" ht="45" customHeight="1">
      <c r="A656" s="35">
        <v>44382</v>
      </c>
      <c r="B656" s="36">
        <v>411</v>
      </c>
      <c r="C656" s="37" t="str">
        <f>IF(ISNA(VLOOKUP(Tableau13[[#This Row],[Code]],'Code Véhicule'!$A$4:$C$185,2,0)),"",VLOOKUP(Tableau13[[#This Row],[Code]],'Code Véhicule'!$A$4:$C$185,2,0))</f>
        <v>Camion</v>
      </c>
      <c r="D656" s="38" t="str">
        <f>IF(ISNA(VLOOKUP(Tableau13[[#This Row],[Code]],'Code Véhicule'!$A$4:$C$185,3,0)),"",VLOOKUP(Tableau13[[#This Row],[Code]],'Code Véhicule'!$A$4:$C$185,3,0))</f>
        <v>Renault</v>
      </c>
      <c r="E656" s="36" t="str">
        <f>IF(ISNA(VLOOKUP(Tableau13[[#This Row],[Code]],'Code Véhicule'!$A$4:$D$185,4,0))," ",VLOOKUP(Tableau13[[#This Row],[Code]],'Code Véhicule'!$A$4:$D$185,4,0))</f>
        <v>25636-A-13</v>
      </c>
      <c r="F656" s="36">
        <v>25614</v>
      </c>
      <c r="G656" s="38" t="s">
        <v>703</v>
      </c>
      <c r="H656" s="38" t="s">
        <v>1239</v>
      </c>
      <c r="I656" s="36" t="s">
        <v>304</v>
      </c>
      <c r="J656" s="39" t="s">
        <v>1240</v>
      </c>
      <c r="K656" s="36" t="s">
        <v>1247</v>
      </c>
      <c r="L656" s="40">
        <v>2280</v>
      </c>
      <c r="M656" s="40">
        <v>5700</v>
      </c>
      <c r="N656" s="41">
        <v>44392</v>
      </c>
      <c r="O656" s="45"/>
      <c r="P656" s="45"/>
      <c r="Q656" s="176" t="e">
        <f>MONTH([1]!Tableau13[[#This Row],[Date début]])</f>
        <v>#REF!</v>
      </c>
      <c r="R656" s="180" t="e">
        <f>YEAR([1]!Tableau13[[#This Row],[Date début]])</f>
        <v>#REF!</v>
      </c>
      <c r="S656" s="44"/>
      <c r="T656" s="44"/>
    </row>
    <row r="657" spans="1:20" s="75" customFormat="1" ht="30" customHeight="1">
      <c r="A657" s="35">
        <v>44383</v>
      </c>
      <c r="B657" s="36">
        <v>427</v>
      </c>
      <c r="C657" s="37" t="str">
        <f>IF(ISNA(VLOOKUP(Tableau13[[#This Row],[Code]],'Code Véhicule'!$A$4:$C$185,2,0)),"",VLOOKUP(Tableau13[[#This Row],[Code]],'Code Véhicule'!$A$4:$C$185,2,0))</f>
        <v>Chariot elevateur</v>
      </c>
      <c r="D657" s="38" t="str">
        <f>IF(ISNA(VLOOKUP(Tableau13[[#This Row],[Code]],'Code Véhicule'!$A$4:$C$185,3,0)),"",VLOOKUP(Tableau13[[#This Row],[Code]],'Code Véhicule'!$A$4:$C$185,3,0))</f>
        <v>Linde H30</v>
      </c>
      <c r="E657" s="36" t="str">
        <f>IF(ISNA(VLOOKUP(Tableau13[[#This Row],[Code]],'Code Véhicule'!$A$4:$D$185,4,0))," ",VLOOKUP(Tableau13[[#This Row],[Code]],'Code Véhicule'!$A$4:$D$185,4,0))</f>
        <v>-</v>
      </c>
      <c r="F657" s="36">
        <v>25602</v>
      </c>
      <c r="G657" s="38" t="s">
        <v>393</v>
      </c>
      <c r="H657" s="38" t="s">
        <v>608</v>
      </c>
      <c r="I657" s="36" t="s">
        <v>304</v>
      </c>
      <c r="J657" s="39" t="s">
        <v>1223</v>
      </c>
      <c r="K657" s="36">
        <v>166221</v>
      </c>
      <c r="L657" s="40">
        <v>60</v>
      </c>
      <c r="M657" s="40">
        <v>60</v>
      </c>
      <c r="N657" s="41">
        <v>44383</v>
      </c>
      <c r="O657" s="45"/>
      <c r="P657" s="45"/>
      <c r="Q657" s="176" t="e">
        <f>MONTH([1]!Tableau13[[#This Row],[Date début]])</f>
        <v>#REF!</v>
      </c>
      <c r="R657" s="180" t="e">
        <f>YEAR([1]!Tableau13[[#This Row],[Date début]])</f>
        <v>#REF!</v>
      </c>
      <c r="S657" s="44"/>
      <c r="T657" s="44"/>
    </row>
    <row r="658" spans="1:20" s="75" customFormat="1" ht="30" customHeight="1">
      <c r="A658" s="35">
        <v>44384</v>
      </c>
      <c r="B658" s="36">
        <v>429</v>
      </c>
      <c r="C658" s="37" t="str">
        <f>IF(ISNA(VLOOKUP(Tableau13[[#This Row],[Code]],'Code Véhicule'!$A$4:$C$185,2,0)),"",VLOOKUP(Tableau13[[#This Row],[Code]],'Code Véhicule'!$A$4:$C$185,2,0))</f>
        <v>Chariot elevateur</v>
      </c>
      <c r="D658" s="38" t="str">
        <f>IF(ISNA(VLOOKUP(Tableau13[[#This Row],[Code]],'Code Véhicule'!$A$4:$C$185,3,0)),"",VLOOKUP(Tableau13[[#This Row],[Code]],'Code Véhicule'!$A$4:$C$185,3,0))</f>
        <v>Fenwick HD30</v>
      </c>
      <c r="E658" s="36" t="str">
        <f>IF(ISNA(VLOOKUP(Tableau13[[#This Row],[Code]],'Code Véhicule'!$A$4:$D$185,4,0))," ",VLOOKUP(Tableau13[[#This Row],[Code]],'Code Véhicule'!$A$4:$D$185,4,0))</f>
        <v>-</v>
      </c>
      <c r="F658" s="36">
        <v>25603</v>
      </c>
      <c r="G658" s="38" t="s">
        <v>843</v>
      </c>
      <c r="H658" s="38" t="s">
        <v>844</v>
      </c>
      <c r="I658" s="36" t="s">
        <v>304</v>
      </c>
      <c r="J658" s="39" t="s">
        <v>1222</v>
      </c>
      <c r="K658" s="36">
        <v>166222</v>
      </c>
      <c r="L658" s="40">
        <v>1140</v>
      </c>
      <c r="M658" s="40">
        <v>1140</v>
      </c>
      <c r="N658" s="41">
        <v>44385</v>
      </c>
      <c r="O658" s="45"/>
      <c r="P658" s="45"/>
      <c r="Q658" s="176" t="e">
        <f>MONTH([1]!Tableau13[[#This Row],[Date début]])</f>
        <v>#REF!</v>
      </c>
      <c r="R658" s="180" t="e">
        <f>YEAR([1]!Tableau13[[#This Row],[Date début]])</f>
        <v>#REF!</v>
      </c>
      <c r="S658" s="44"/>
      <c r="T658" s="44"/>
    </row>
    <row r="659" spans="1:20" s="75" customFormat="1" ht="23.25" customHeight="1">
      <c r="A659" s="35">
        <v>44384</v>
      </c>
      <c r="B659" s="36">
        <v>431</v>
      </c>
      <c r="C659" s="37" t="str">
        <f>IF(ISNA(VLOOKUP(Tableau13[[#This Row],[Code]],'Code Véhicule'!$A$4:$C$185,2,0)),"",VLOOKUP(Tableau13[[#This Row],[Code]],'Code Véhicule'!$A$4:$C$185,2,0))</f>
        <v>Chariot elevateur</v>
      </c>
      <c r="D659" s="38" t="str">
        <f>IF(ISNA(VLOOKUP(Tableau13[[#This Row],[Code]],'Code Véhicule'!$A$4:$C$185,3,0)),"",VLOOKUP(Tableau13[[#This Row],[Code]],'Code Véhicule'!$A$4:$C$185,3,0))</f>
        <v>Manitou M26-2</v>
      </c>
      <c r="E659" s="36" t="str">
        <f>IF(ISNA(VLOOKUP(Tableau13[[#This Row],[Code]],'Code Véhicule'!$A$4:$D$185,4,0))," ",VLOOKUP(Tableau13[[#This Row],[Code]],'Code Véhicule'!$A$4:$D$185,4,0))</f>
        <v>-</v>
      </c>
      <c r="F659" s="36">
        <v>25604</v>
      </c>
      <c r="G659" s="38" t="s">
        <v>1224</v>
      </c>
      <c r="H659" s="38" t="s">
        <v>1225</v>
      </c>
      <c r="I659" s="36" t="s">
        <v>304</v>
      </c>
      <c r="J659" s="39" t="s">
        <v>1226</v>
      </c>
      <c r="K659" s="36">
        <v>166224</v>
      </c>
      <c r="L659" s="40">
        <v>1140</v>
      </c>
      <c r="M659" s="40">
        <v>1114</v>
      </c>
      <c r="N659" s="41">
        <v>44385</v>
      </c>
      <c r="O659" s="45"/>
      <c r="P659" s="45"/>
      <c r="Q659" s="176" t="e">
        <f>MONTH([1]!Tableau13[[#This Row],[Date début]])</f>
        <v>#REF!</v>
      </c>
      <c r="R659" s="180" t="e">
        <f>YEAR([1]!Tableau13[[#This Row],[Date début]])</f>
        <v>#REF!</v>
      </c>
      <c r="S659" s="44"/>
      <c r="T659" s="44"/>
    </row>
    <row r="660" spans="1:20" s="75" customFormat="1" ht="60" customHeight="1">
      <c r="A660" s="35">
        <v>44384</v>
      </c>
      <c r="B660" s="36">
        <v>480</v>
      </c>
      <c r="C660" s="37" t="str">
        <f>IF(ISNA(VLOOKUP(Tableau13[[#This Row],[Code]],'Code Véhicule'!$A$4:$C$185,2,0)),"",VLOOKUP(Tableau13[[#This Row],[Code]],'Code Véhicule'!$A$4:$C$185,2,0))</f>
        <v>Camion</v>
      </c>
      <c r="D660" s="38" t="str">
        <f>IF(ISNA(VLOOKUP(Tableau13[[#This Row],[Code]],'Code Véhicule'!$A$4:$C$185,3,0)),"",VLOOKUP(Tableau13[[#This Row],[Code]],'Code Véhicule'!$A$4:$C$185,3,0))</f>
        <v>VOLVO</v>
      </c>
      <c r="E660" s="36" t="str">
        <f>IF(ISNA(VLOOKUP(Tableau13[[#This Row],[Code]],'Code Véhicule'!$A$4:$D$185,4,0))," ",VLOOKUP(Tableau13[[#This Row],[Code]],'Code Véhicule'!$A$4:$D$185,4,0))</f>
        <v>22299-A-73</v>
      </c>
      <c r="F660" s="36">
        <v>25605</v>
      </c>
      <c r="G660" s="38" t="s">
        <v>1227</v>
      </c>
      <c r="H660" s="38" t="s">
        <v>608</v>
      </c>
      <c r="I660" s="36" t="s">
        <v>302</v>
      </c>
      <c r="J660" s="39" t="s">
        <v>1228</v>
      </c>
      <c r="K660" s="36">
        <v>166226</v>
      </c>
      <c r="L660" s="40">
        <v>120</v>
      </c>
      <c r="M660" s="40">
        <v>120</v>
      </c>
      <c r="N660" s="41">
        <v>44384</v>
      </c>
      <c r="O660" s="45"/>
      <c r="P660" s="45"/>
      <c r="Q660" s="176" t="e">
        <f>MONTH([1]!Tableau13[[#This Row],[Date début]])</f>
        <v>#REF!</v>
      </c>
      <c r="R660" s="180" t="e">
        <f>YEAR([1]!Tableau13[[#This Row],[Date début]])</f>
        <v>#REF!</v>
      </c>
      <c r="S660" s="44"/>
      <c r="T660" s="44"/>
    </row>
    <row r="661" spans="1:20" s="75" customFormat="1" ht="90" customHeight="1">
      <c r="A661" s="35">
        <v>44386</v>
      </c>
      <c r="B661" s="36">
        <v>439</v>
      </c>
      <c r="C661" s="37" t="str">
        <f>IF(ISNA(VLOOKUP(Tableau13[[#This Row],[Code]],'Code Véhicule'!$A$4:$C$185,2,0)),"",VLOOKUP(Tableau13[[#This Row],[Code]],'Code Véhicule'!$A$4:$C$185,2,0))</f>
        <v>Semi remorque</v>
      </c>
      <c r="D661" s="38" t="str">
        <f>IF(ISNA(VLOOKUP(Tableau13[[#This Row],[Code]],'Code Véhicule'!$A$4:$C$185,3,0)),"",VLOOKUP(Tableau13[[#This Row],[Code]],'Code Véhicule'!$A$4:$C$185,3,0))</f>
        <v>VOLVO</v>
      </c>
      <c r="E661" s="36" t="str">
        <f>IF(ISNA(VLOOKUP(Tableau13[[#This Row],[Code]],'Code Véhicule'!$A$4:$D$185,4,0))," ",VLOOKUP(Tableau13[[#This Row],[Code]],'Code Véhicule'!$A$4:$D$185,4,0))</f>
        <v xml:space="preserve">17886-A-73 </v>
      </c>
      <c r="F661" s="36">
        <v>25606</v>
      </c>
      <c r="G661" s="38" t="s">
        <v>393</v>
      </c>
      <c r="H661" s="38" t="s">
        <v>608</v>
      </c>
      <c r="I661" s="36" t="s">
        <v>304</v>
      </c>
      <c r="J661" s="39" t="s">
        <v>1229</v>
      </c>
      <c r="K661" s="36">
        <v>166235</v>
      </c>
      <c r="L661" s="40">
        <v>1710</v>
      </c>
      <c r="M661" s="40">
        <v>1710</v>
      </c>
      <c r="N661" s="41">
        <v>44388</v>
      </c>
      <c r="O661" s="45"/>
      <c r="P661" s="45"/>
      <c r="Q661" s="176" t="e">
        <f>MONTH([1]!Tableau13[[#This Row],[Date début]])</f>
        <v>#REF!</v>
      </c>
      <c r="R661" s="180" t="e">
        <f>YEAR([1]!Tableau13[[#This Row],[Date début]])</f>
        <v>#REF!</v>
      </c>
      <c r="S661" s="44"/>
      <c r="T661" s="44"/>
    </row>
    <row r="662" spans="1:20" s="75" customFormat="1" ht="23.25" customHeight="1">
      <c r="A662" s="35">
        <v>44387</v>
      </c>
      <c r="B662" s="36">
        <v>481</v>
      </c>
      <c r="C662" s="37" t="str">
        <f>IF(ISNA(VLOOKUP(Tableau13[[#This Row],[Code]],'Code Véhicule'!$A$4:$C$185,2,0)),"",VLOOKUP(Tableau13[[#This Row],[Code]],'Code Véhicule'!$A$4:$C$185,2,0))</f>
        <v>Camion</v>
      </c>
      <c r="D662" s="38" t="str">
        <f>IF(ISNA(VLOOKUP(Tableau13[[#This Row],[Code]],'Code Véhicule'!$A$4:$C$185,3,0)),"",VLOOKUP(Tableau13[[#This Row],[Code]],'Code Véhicule'!$A$4:$C$185,3,0))</f>
        <v>VOLVO</v>
      </c>
      <c r="E662" s="36" t="str">
        <f>IF(ISNA(VLOOKUP(Tableau13[[#This Row],[Code]],'Code Véhicule'!$A$4:$D$185,4,0))," ",VLOOKUP(Tableau13[[#This Row],[Code]],'Code Véhicule'!$A$4:$D$185,4,0))</f>
        <v>22300-A-73</v>
      </c>
      <c r="F662" s="36">
        <v>25607</v>
      </c>
      <c r="G662" s="38" t="s">
        <v>560</v>
      </c>
      <c r="H662" s="38" t="s">
        <v>604</v>
      </c>
      <c r="I662" s="36" t="s">
        <v>304</v>
      </c>
      <c r="J662" s="39" t="s">
        <v>372</v>
      </c>
      <c r="K662" s="36">
        <v>166237</v>
      </c>
      <c r="L662" s="40">
        <v>120</v>
      </c>
      <c r="M662" s="40">
        <v>120</v>
      </c>
      <c r="N662" s="41">
        <v>44387</v>
      </c>
      <c r="O662" s="45"/>
      <c r="P662" s="45"/>
      <c r="Q662" s="176" t="e">
        <f>MONTH([1]!Tableau13[[#This Row],[Date début]])</f>
        <v>#REF!</v>
      </c>
      <c r="R662" s="180" t="e">
        <f>YEAR([1]!Tableau13[[#This Row],[Date début]])</f>
        <v>#REF!</v>
      </c>
      <c r="S662" s="44"/>
      <c r="T662" s="44"/>
    </row>
    <row r="663" spans="1:20" s="75" customFormat="1" ht="30" customHeight="1">
      <c r="A663" s="35">
        <v>44387</v>
      </c>
      <c r="B663" s="36">
        <v>435</v>
      </c>
      <c r="C663" s="37" t="str">
        <f>IF(ISNA(VLOOKUP(Tableau13[[#This Row],[Code]],'Code Véhicule'!$A$4:$C$185,2,0)),"",VLOOKUP(Tableau13[[#This Row],[Code]],'Code Véhicule'!$A$4:$C$185,2,0))</f>
        <v>Camion</v>
      </c>
      <c r="D663" s="38" t="str">
        <f>IF(ISNA(VLOOKUP(Tableau13[[#This Row],[Code]],'Code Véhicule'!$A$4:$C$185,3,0)),"",VLOOKUP(Tableau13[[#This Row],[Code]],'Code Véhicule'!$A$4:$C$185,3,0))</f>
        <v>Mitsubishi</v>
      </c>
      <c r="E663" s="36" t="str">
        <f>IF(ISNA(VLOOKUP(Tableau13[[#This Row],[Code]],'Code Véhicule'!$A$4:$D$185,4,0))," ",VLOOKUP(Tableau13[[#This Row],[Code]],'Code Véhicule'!$A$4:$D$185,4,0))</f>
        <v xml:space="preserve"> 11469-A-73</v>
      </c>
      <c r="F663" s="36">
        <v>25613</v>
      </c>
      <c r="G663" s="38" t="s">
        <v>1237</v>
      </c>
      <c r="H663" s="38" t="s">
        <v>1017</v>
      </c>
      <c r="I663" s="36" t="s">
        <v>304</v>
      </c>
      <c r="J663" s="39" t="s">
        <v>1238</v>
      </c>
      <c r="K663" s="36">
        <v>166245</v>
      </c>
      <c r="L663" s="40">
        <v>1710</v>
      </c>
      <c r="M663" s="40">
        <v>1710</v>
      </c>
      <c r="N663" s="41">
        <v>44390</v>
      </c>
      <c r="O663" s="45"/>
      <c r="P663" s="45"/>
      <c r="Q663" s="176" t="e">
        <f>MONTH([1]!Tableau13[[#This Row],[Date début]])</f>
        <v>#REF!</v>
      </c>
      <c r="R663" s="180" t="e">
        <f>YEAR([1]!Tableau13[[#This Row],[Date début]])</f>
        <v>#REF!</v>
      </c>
      <c r="S663" s="44"/>
      <c r="T663" s="44"/>
    </row>
    <row r="664" spans="1:20" s="75" customFormat="1" ht="30" customHeight="1">
      <c r="A664" s="35">
        <v>44389</v>
      </c>
      <c r="B664" s="36">
        <v>436</v>
      </c>
      <c r="C664" s="37" t="str">
        <f>IF(ISNA(VLOOKUP(Tableau13[[#This Row],[Code]],'Code Véhicule'!$A$4:$C$185,2,0)),"",VLOOKUP(Tableau13[[#This Row],[Code]],'Code Véhicule'!$A$4:$C$185,2,0))</f>
        <v>Camion</v>
      </c>
      <c r="D664" s="38" t="str">
        <f>IF(ISNA(VLOOKUP(Tableau13[[#This Row],[Code]],'Code Véhicule'!$A$4:$C$185,3,0)),"",VLOOKUP(Tableau13[[#This Row],[Code]],'Code Véhicule'!$A$4:$C$185,3,0))</f>
        <v>Mitsubishi</v>
      </c>
      <c r="E664" s="36" t="str">
        <f>IF(ISNA(VLOOKUP(Tableau13[[#This Row],[Code]],'Code Véhicule'!$A$4:$D$185,4,0))," ",VLOOKUP(Tableau13[[#This Row],[Code]],'Code Véhicule'!$A$4:$D$185,4,0))</f>
        <v>11470-A-73</v>
      </c>
      <c r="F664" s="36">
        <v>26608</v>
      </c>
      <c r="G664" s="38" t="s">
        <v>511</v>
      </c>
      <c r="H664" s="38" t="s">
        <v>928</v>
      </c>
      <c r="I664" s="36" t="s">
        <v>304</v>
      </c>
      <c r="J664" s="39" t="s">
        <v>1230</v>
      </c>
      <c r="K664" s="36">
        <v>166238</v>
      </c>
      <c r="L664" s="40"/>
      <c r="M664" s="40">
        <f>IF(ISBLANK(Tableau13[[#This Row],[N BS]]),"",(Tableau13[[#This Row],[N BS]]-Tableau13[[#This Row],[Date début]]))</f>
        <v>121849</v>
      </c>
      <c r="N664" s="41">
        <v>44390</v>
      </c>
      <c r="O664" s="45"/>
      <c r="P664" s="45"/>
      <c r="Q664" s="176" t="e">
        <f>MONTH([1]!Tableau13[[#This Row],[Date début]])</f>
        <v>#REF!</v>
      </c>
      <c r="R664" s="180" t="e">
        <f>YEAR([1]!Tableau13[[#This Row],[Date début]])</f>
        <v>#REF!</v>
      </c>
      <c r="S664" s="44"/>
      <c r="T664" s="44"/>
    </row>
    <row r="665" spans="1:20" s="75" customFormat="1" ht="30" customHeight="1">
      <c r="A665" s="35">
        <v>44390</v>
      </c>
      <c r="B665" s="36">
        <v>432</v>
      </c>
      <c r="C665" s="37" t="str">
        <f>IF(ISNA(VLOOKUP(Tableau13[[#This Row],[Code]],'Code Véhicule'!$A$4:$C$185,2,0)),"",VLOOKUP(Tableau13[[#This Row],[Code]],'Code Véhicule'!$A$4:$C$185,2,0))</f>
        <v>Voiture de fonction</v>
      </c>
      <c r="D665" s="38" t="str">
        <f>IF(ISNA(VLOOKUP(Tableau13[[#This Row],[Code]],'Code Véhicule'!$A$4:$C$185,3,0)),"",VLOOKUP(Tableau13[[#This Row],[Code]],'Code Véhicule'!$A$4:$C$185,3,0))</f>
        <v>Berlingo</v>
      </c>
      <c r="E665" s="36" t="str">
        <f>IF(ISNA(VLOOKUP(Tableau13[[#This Row],[Code]],'Code Véhicule'!$A$4:$D$185,4,0))," ",VLOOKUP(Tableau13[[#This Row],[Code]],'Code Véhicule'!$A$4:$D$185,4,0))</f>
        <v xml:space="preserve"> 9660 -A-73</v>
      </c>
      <c r="F665" s="36">
        <v>25610</v>
      </c>
      <c r="G665" s="38" t="s">
        <v>393</v>
      </c>
      <c r="H665" s="38" t="s">
        <v>613</v>
      </c>
      <c r="I665" s="36" t="s">
        <v>302</v>
      </c>
      <c r="J665" s="39" t="s">
        <v>1232</v>
      </c>
      <c r="K665" s="36">
        <v>166242</v>
      </c>
      <c r="L665" s="40">
        <v>30</v>
      </c>
      <c r="M665" s="40">
        <v>30</v>
      </c>
      <c r="N665" s="41">
        <v>44390</v>
      </c>
      <c r="O665" s="45"/>
      <c r="P665" s="45"/>
      <c r="Q665" s="176" t="e">
        <f>MONTH([1]!Tableau13[[#This Row],[Date début]])</f>
        <v>#REF!</v>
      </c>
      <c r="R665" s="180" t="e">
        <f>YEAR([1]!Tableau13[[#This Row],[Date début]])</f>
        <v>#REF!</v>
      </c>
      <c r="S665" s="44"/>
      <c r="T665" s="44"/>
    </row>
    <row r="666" spans="1:20" s="75" customFormat="1" ht="23.25" customHeight="1">
      <c r="A666" s="35">
        <v>44390</v>
      </c>
      <c r="B666" s="36">
        <v>405</v>
      </c>
      <c r="C666" s="37" t="str">
        <f>IF(ISNA(VLOOKUP(Tableau13[[#This Row],[Code]],'Code Véhicule'!$A$4:$C$185,2,0)),"",VLOOKUP(Tableau13[[#This Row],[Code]],'Code Véhicule'!$A$4:$C$185,2,0))</f>
        <v>Camion</v>
      </c>
      <c r="D666" s="38" t="str">
        <f>IF(ISNA(VLOOKUP(Tableau13[[#This Row],[Code]],'Code Véhicule'!$A$4:$C$185,3,0)),"",VLOOKUP(Tableau13[[#This Row],[Code]],'Code Véhicule'!$A$4:$C$185,3,0))</f>
        <v>ISUZU</v>
      </c>
      <c r="E666" s="36" t="str">
        <f>IF(ISNA(VLOOKUP(Tableau13[[#This Row],[Code]],'Code Véhicule'!$A$4:$D$185,4,0))," ",VLOOKUP(Tableau13[[#This Row],[Code]],'Code Véhicule'!$A$4:$D$185,4,0))</f>
        <v xml:space="preserve"> 22128-W-6</v>
      </c>
      <c r="F666" s="36">
        <v>25611</v>
      </c>
      <c r="G666" s="38" t="s">
        <v>511</v>
      </c>
      <c r="H666" s="38" t="s">
        <v>1233</v>
      </c>
      <c r="I666" s="36" t="s">
        <v>304</v>
      </c>
      <c r="J666" s="39" t="s">
        <v>1234</v>
      </c>
      <c r="K666" s="36">
        <v>166243</v>
      </c>
      <c r="L666" s="40">
        <v>120</v>
      </c>
      <c r="M666" s="40">
        <v>120</v>
      </c>
      <c r="N666" s="41">
        <v>44390</v>
      </c>
      <c r="O666" s="45"/>
      <c r="P666" s="45"/>
      <c r="Q666" s="176" t="e">
        <f>MONTH([1]!Tableau13[[#This Row],[Date début]])</f>
        <v>#REF!</v>
      </c>
      <c r="R666" s="180" t="e">
        <f>YEAR([1]!Tableau13[[#This Row],[Date début]])</f>
        <v>#REF!</v>
      </c>
      <c r="S666" s="44"/>
      <c r="T666" s="44"/>
    </row>
    <row r="667" spans="1:20" s="75" customFormat="1" ht="23.25" customHeight="1">
      <c r="A667" s="35">
        <v>44390</v>
      </c>
      <c r="B667" s="36">
        <v>445</v>
      </c>
      <c r="C667" s="37" t="str">
        <f>IF(ISNA(VLOOKUP(Tableau13[[#This Row],[Code]],'Code Véhicule'!$A$4:$C$185,2,0)),"",VLOOKUP(Tableau13[[#This Row],[Code]],'Code Véhicule'!$A$4:$C$185,2,0))</f>
        <v/>
      </c>
      <c r="D667" s="38" t="str">
        <f>IF(ISNA(VLOOKUP(Tableau13[[#This Row],[Code]],'Code Véhicule'!$A$4:$C$185,3,0)),"",VLOOKUP(Tableau13[[#This Row],[Code]],'Code Véhicule'!$A$4:$C$185,3,0))</f>
        <v/>
      </c>
      <c r="E667" s="36" t="str">
        <f>IF(ISNA(VLOOKUP(Tableau13[[#This Row],[Code]],'Code Véhicule'!$A$4:$D$185,4,0))," ",VLOOKUP(Tableau13[[#This Row],[Code]],'Code Véhicule'!$A$4:$D$185,4,0))</f>
        <v xml:space="preserve"> </v>
      </c>
      <c r="F667" s="36">
        <v>25612</v>
      </c>
      <c r="G667" s="38" t="s">
        <v>1235</v>
      </c>
      <c r="H667" s="38" t="s">
        <v>1034</v>
      </c>
      <c r="I667" s="36" t="s">
        <v>304</v>
      </c>
      <c r="J667" s="39" t="s">
        <v>1236</v>
      </c>
      <c r="K667" s="36">
        <v>166244</v>
      </c>
      <c r="L667" s="40">
        <v>1140</v>
      </c>
      <c r="M667" s="40">
        <v>1140</v>
      </c>
      <c r="N667" s="41">
        <v>44391</v>
      </c>
      <c r="O667" s="45"/>
      <c r="P667" s="45"/>
      <c r="Q667" s="176" t="e">
        <f>MONTH([1]!Tableau13[[#This Row],[Date début]])</f>
        <v>#REF!</v>
      </c>
      <c r="R667" s="180" t="e">
        <f>YEAR([1]!Tableau13[[#This Row],[Date début]])</f>
        <v>#REF!</v>
      </c>
      <c r="S667" s="44"/>
      <c r="T667" s="44"/>
    </row>
    <row r="668" spans="1:20" s="75" customFormat="1" ht="30" customHeight="1">
      <c r="A668" s="35">
        <v>44390</v>
      </c>
      <c r="B668" s="36">
        <v>433</v>
      </c>
      <c r="C668" s="37" t="str">
        <f>IF(ISNA(VLOOKUP(Tableau13[[#This Row],[Code]],'Code Véhicule'!$A$4:$C$185,2,0)),"",VLOOKUP(Tableau13[[#This Row],[Code]],'Code Véhicule'!$A$4:$C$185,2,0))</f>
        <v>Voiture de fonction</v>
      </c>
      <c r="D668" s="38" t="str">
        <f>IF(ISNA(VLOOKUP(Tableau13[[#This Row],[Code]],'Code Véhicule'!$A$4:$C$185,3,0)),"",VLOOKUP(Tableau13[[#This Row],[Code]],'Code Véhicule'!$A$4:$C$185,3,0))</f>
        <v>Berlingo</v>
      </c>
      <c r="E668" s="36" t="str">
        <f>IF(ISNA(VLOOKUP(Tableau13[[#This Row],[Code]],'Code Véhicule'!$A$4:$D$185,4,0))," ",VLOOKUP(Tableau13[[#This Row],[Code]],'Code Véhicule'!$A$4:$D$185,4,0))</f>
        <v>10551-A-73</v>
      </c>
      <c r="F668" s="36">
        <v>25617</v>
      </c>
      <c r="G668" s="38" t="s">
        <v>511</v>
      </c>
      <c r="H668" s="38" t="s">
        <v>672</v>
      </c>
      <c r="I668" s="36" t="s">
        <v>304</v>
      </c>
      <c r="J668" s="39" t="s">
        <v>1242</v>
      </c>
      <c r="K668" s="36">
        <v>166854</v>
      </c>
      <c r="L668" s="40">
        <v>120</v>
      </c>
      <c r="M668" s="40">
        <v>120</v>
      </c>
      <c r="N668" s="41">
        <v>44390</v>
      </c>
      <c r="O668" s="45"/>
      <c r="P668" s="45"/>
      <c r="Q668" s="176" t="e">
        <f>MONTH([1]!Tableau13[[#This Row],[Date début]])</f>
        <v>#REF!</v>
      </c>
      <c r="R668" s="180" t="e">
        <f>YEAR([1]!Tableau13[[#This Row],[Date début]])</f>
        <v>#REF!</v>
      </c>
      <c r="S668" s="44"/>
      <c r="T668" s="44"/>
    </row>
    <row r="669" spans="1:20" s="75" customFormat="1" ht="60" customHeight="1">
      <c r="A669" s="35">
        <v>44390</v>
      </c>
      <c r="B669" s="36">
        <v>481</v>
      </c>
      <c r="C669" s="37" t="str">
        <f>IF(ISNA(VLOOKUP(Tableau13[[#This Row],[Code]],'Code Véhicule'!$A$4:$C$185,2,0)),"",VLOOKUP(Tableau13[[#This Row],[Code]],'Code Véhicule'!$A$4:$C$185,2,0))</f>
        <v>Camion</v>
      </c>
      <c r="D669" s="38" t="str">
        <f>IF(ISNA(VLOOKUP(Tableau13[[#This Row],[Code]],'Code Véhicule'!$A$4:$C$185,3,0)),"",VLOOKUP(Tableau13[[#This Row],[Code]],'Code Véhicule'!$A$4:$C$185,3,0))</f>
        <v>VOLVO</v>
      </c>
      <c r="E669" s="36" t="str">
        <f>IF(ISNA(VLOOKUP(Tableau13[[#This Row],[Code]],'Code Véhicule'!$A$4:$D$185,4,0))," ",VLOOKUP(Tableau13[[#This Row],[Code]],'Code Véhicule'!$A$4:$D$185,4,0))</f>
        <v>22300-A-73</v>
      </c>
      <c r="F669" s="36">
        <v>25618</v>
      </c>
      <c r="G669" s="38" t="s">
        <v>393</v>
      </c>
      <c r="H669" s="38" t="s">
        <v>608</v>
      </c>
      <c r="I669" s="36" t="s">
        <v>304</v>
      </c>
      <c r="J669" s="39" t="s">
        <v>1243</v>
      </c>
      <c r="K669" s="36">
        <v>166854</v>
      </c>
      <c r="L669" s="40">
        <v>120</v>
      </c>
      <c r="M669" s="40">
        <v>120</v>
      </c>
      <c r="N669" s="41">
        <v>44390</v>
      </c>
      <c r="O669" s="45"/>
      <c r="P669" s="45"/>
      <c r="Q669" s="176" t="e">
        <f>MONTH([1]!Tableau13[[#This Row],[Date début]])</f>
        <v>#REF!</v>
      </c>
      <c r="R669" s="180" t="e">
        <f>YEAR([1]!Tableau13[[#This Row],[Date début]])</f>
        <v>#REF!</v>
      </c>
      <c r="S669" s="44"/>
      <c r="T669" s="44"/>
    </row>
    <row r="670" spans="1:20" s="75" customFormat="1" ht="45" customHeight="1">
      <c r="A670" s="35">
        <v>44392</v>
      </c>
      <c r="B670" s="36" t="s">
        <v>1244</v>
      </c>
      <c r="C670" s="37" t="s">
        <v>472</v>
      </c>
      <c r="D670" s="38" t="str">
        <f>IF(ISNA(VLOOKUP(Tableau13[[#This Row],[Code]],'Code Véhicule'!$A$4:$C$185,3,0)),"",VLOOKUP(Tableau13[[#This Row],[Code]],'Code Véhicule'!$A$4:$C$185,3,0))</f>
        <v/>
      </c>
      <c r="E670" s="36" t="str">
        <f>IF(ISNA(VLOOKUP(Tableau13[[#This Row],[Code]],'Code Véhicule'!$A$4:$D$185,4,0))," ",VLOOKUP(Tableau13[[#This Row],[Code]],'Code Véhicule'!$A$4:$D$185,4,0))</f>
        <v xml:space="preserve"> </v>
      </c>
      <c r="F670" s="36">
        <v>25619</v>
      </c>
      <c r="G670" s="38" t="s">
        <v>1534</v>
      </c>
      <c r="H670" s="38" t="s">
        <v>1245</v>
      </c>
      <c r="I670" s="36" t="s">
        <v>304</v>
      </c>
      <c r="J670" s="39" t="s">
        <v>1246</v>
      </c>
      <c r="K670" s="36">
        <v>166859</v>
      </c>
      <c r="L670" s="40">
        <v>570</v>
      </c>
      <c r="M670" s="40">
        <v>570</v>
      </c>
      <c r="N670" s="41">
        <v>44392</v>
      </c>
      <c r="O670" s="45"/>
      <c r="P670" s="45"/>
      <c r="Q670" s="176" t="e">
        <f>MONTH([1]!Tableau13[[#This Row],[Date début]])</f>
        <v>#REF!</v>
      </c>
      <c r="R670" s="180" t="e">
        <f>YEAR([1]!Tableau13[[#This Row],[Date début]])</f>
        <v>#REF!</v>
      </c>
      <c r="S670" s="44"/>
      <c r="T670" s="44"/>
    </row>
    <row r="671" spans="1:20" s="75" customFormat="1" ht="23.25" customHeight="1">
      <c r="A671" s="35">
        <v>44392</v>
      </c>
      <c r="B671" s="36">
        <v>407</v>
      </c>
      <c r="C671" s="37" t="str">
        <f>IF(ISNA(VLOOKUP(Tableau13[[#This Row],[Code]],'Code Véhicule'!$A$4:$C$185,2,0)),"",VLOOKUP(Tableau13[[#This Row],[Code]],'Code Véhicule'!$A$4:$C$185,2,0))</f>
        <v>Semi remorque</v>
      </c>
      <c r="D671" s="38" t="str">
        <f>IF(ISNA(VLOOKUP(Tableau13[[#This Row],[Code]],'Code Véhicule'!$A$4:$C$185,3,0)),"",VLOOKUP(Tableau13[[#This Row],[Code]],'Code Véhicule'!$A$4:$C$185,3,0))</f>
        <v>MAN</v>
      </c>
      <c r="E671" s="36" t="str">
        <f>IF(ISNA(VLOOKUP(Tableau13[[#This Row],[Code]],'Code Véhicule'!$A$4:$D$185,4,0))," ",VLOOKUP(Tableau13[[#This Row],[Code]],'Code Véhicule'!$A$4:$D$185,4,0))</f>
        <v>706-A-73</v>
      </c>
      <c r="F671" s="36">
        <v>25620</v>
      </c>
      <c r="G671" s="38" t="s">
        <v>525</v>
      </c>
      <c r="H671" s="38" t="s">
        <v>560</v>
      </c>
      <c r="I671" s="36" t="s">
        <v>304</v>
      </c>
      <c r="J671" s="39" t="s">
        <v>997</v>
      </c>
      <c r="K671" s="36">
        <v>166860</v>
      </c>
      <c r="L671" s="40">
        <v>120</v>
      </c>
      <c r="M671" s="40">
        <v>120</v>
      </c>
      <c r="N671" s="41">
        <v>44392</v>
      </c>
      <c r="O671" s="45"/>
      <c r="P671" s="45"/>
      <c r="Q671" s="176" t="e">
        <f>MONTH([1]!Tableau13[[#This Row],[Date début]])</f>
        <v>#REF!</v>
      </c>
      <c r="R671" s="180" t="e">
        <f>YEAR([1]!Tableau13[[#This Row],[Date début]])</f>
        <v>#REF!</v>
      </c>
      <c r="S671" s="44"/>
      <c r="T671" s="44"/>
    </row>
    <row r="672" spans="1:20" s="75" customFormat="1" ht="60" customHeight="1">
      <c r="A672" s="35">
        <v>44392</v>
      </c>
      <c r="B672" s="36">
        <v>435</v>
      </c>
      <c r="C672" s="37" t="str">
        <f>IF(ISNA(VLOOKUP(Tableau13[[#This Row],[Code]],'Code Véhicule'!$A$4:$C$185,2,0)),"",VLOOKUP(Tableau13[[#This Row],[Code]],'Code Véhicule'!$A$4:$C$185,2,0))</f>
        <v>Camion</v>
      </c>
      <c r="D672" s="38" t="str">
        <f>IF(ISNA(VLOOKUP(Tableau13[[#This Row],[Code]],'Code Véhicule'!$A$4:$C$185,3,0)),"",VLOOKUP(Tableau13[[#This Row],[Code]],'Code Véhicule'!$A$4:$C$185,3,0))</f>
        <v>Mitsubishi</v>
      </c>
      <c r="E672" s="36" t="str">
        <f>IF(ISNA(VLOOKUP(Tableau13[[#This Row],[Code]],'Code Véhicule'!$A$4:$D$185,4,0))," ",VLOOKUP(Tableau13[[#This Row],[Code]],'Code Véhicule'!$A$4:$D$185,4,0))</f>
        <v xml:space="preserve"> 11469-A-73</v>
      </c>
      <c r="F672" s="36">
        <v>25621</v>
      </c>
      <c r="G672" s="38" t="s">
        <v>393</v>
      </c>
      <c r="H672" s="38" t="s">
        <v>608</v>
      </c>
      <c r="I672" s="36" t="s">
        <v>302</v>
      </c>
      <c r="J672" s="39" t="s">
        <v>1248</v>
      </c>
      <c r="K672" s="36">
        <v>166863</v>
      </c>
      <c r="L672" s="40">
        <v>120</v>
      </c>
      <c r="M672" s="40">
        <v>120</v>
      </c>
      <c r="N672" s="41">
        <v>44392</v>
      </c>
      <c r="O672" s="45"/>
      <c r="P672" s="45"/>
      <c r="Q672" s="176" t="e">
        <f>MONTH([1]!Tableau13[[#This Row],[Date début]])</f>
        <v>#REF!</v>
      </c>
      <c r="R672" s="180" t="e">
        <f>YEAR([1]!Tableau13[[#This Row],[Date début]])</f>
        <v>#REF!</v>
      </c>
      <c r="S672" s="44"/>
      <c r="T672" s="44"/>
    </row>
    <row r="673" spans="1:20" s="75" customFormat="1" ht="23.25" customHeight="1">
      <c r="A673" s="35">
        <v>44392</v>
      </c>
      <c r="B673" s="36">
        <v>427</v>
      </c>
      <c r="C673" s="37" t="str">
        <f>IF(ISNA(VLOOKUP(Tableau13[[#This Row],[Code]],'Code Véhicule'!$A$4:$C$185,2,0)),"",VLOOKUP(Tableau13[[#This Row],[Code]],'Code Véhicule'!$A$4:$C$185,2,0))</f>
        <v>Chariot elevateur</v>
      </c>
      <c r="D673" s="38" t="str">
        <f>IF(ISNA(VLOOKUP(Tableau13[[#This Row],[Code]],'Code Véhicule'!$A$4:$C$185,3,0)),"",VLOOKUP(Tableau13[[#This Row],[Code]],'Code Véhicule'!$A$4:$C$185,3,0))</f>
        <v>Linde H30</v>
      </c>
      <c r="E673" s="36" t="str">
        <f>IF(ISNA(VLOOKUP(Tableau13[[#This Row],[Code]],'Code Véhicule'!$A$4:$D$185,4,0))," ",VLOOKUP(Tableau13[[#This Row],[Code]],'Code Véhicule'!$A$4:$D$185,4,0))</f>
        <v>-</v>
      </c>
      <c r="F673" s="36">
        <v>25622</v>
      </c>
      <c r="G673" s="38" t="s">
        <v>393</v>
      </c>
      <c r="H673" s="38" t="s">
        <v>613</v>
      </c>
      <c r="I673" s="36" t="s">
        <v>302</v>
      </c>
      <c r="J673" s="39" t="s">
        <v>773</v>
      </c>
      <c r="K673" s="36">
        <v>166865</v>
      </c>
      <c r="L673" s="40">
        <v>30</v>
      </c>
      <c r="M673" s="40">
        <v>30</v>
      </c>
      <c r="N673" s="41">
        <v>44392</v>
      </c>
      <c r="O673" s="45"/>
      <c r="P673" s="45"/>
      <c r="Q673" s="176" t="e">
        <f>MONTH([1]!Tableau13[[#This Row],[Date début]])</f>
        <v>#REF!</v>
      </c>
      <c r="R673" s="180" t="e">
        <f>YEAR([1]!Tableau13[[#This Row],[Date début]])</f>
        <v>#REF!</v>
      </c>
      <c r="S673" s="44"/>
      <c r="T673" s="44"/>
    </row>
    <row r="674" spans="1:20" s="75" customFormat="1" ht="180" customHeight="1">
      <c r="A674" s="35">
        <v>44392</v>
      </c>
      <c r="B674" s="36">
        <v>426</v>
      </c>
      <c r="C674" s="37" t="str">
        <f>IF(ISNA(VLOOKUP(Tableau13[[#This Row],[Code]],'Code Véhicule'!$A$4:$C$185,2,0)),"",VLOOKUP(Tableau13[[#This Row],[Code]],'Code Véhicule'!$A$4:$C$185,2,0))</f>
        <v>Chariot elevateur</v>
      </c>
      <c r="D674" s="38" t="str">
        <f>IF(ISNA(VLOOKUP(Tableau13[[#This Row],[Code]],'Code Véhicule'!$A$4:$C$185,3,0)),"",VLOOKUP(Tableau13[[#This Row],[Code]],'Code Véhicule'!$A$4:$C$185,3,0))</f>
        <v>Manitou MC 30</v>
      </c>
      <c r="E674" s="36" t="str">
        <f>IF(ISNA(VLOOKUP(Tableau13[[#This Row],[Code]],'Code Véhicule'!$A$4:$D$185,4,0))," ",VLOOKUP(Tableau13[[#This Row],[Code]],'Code Véhicule'!$A$4:$D$185,4,0))</f>
        <v>-</v>
      </c>
      <c r="F674" s="36">
        <v>25641</v>
      </c>
      <c r="G674" s="38" t="s">
        <v>620</v>
      </c>
      <c r="H674" s="38" t="s">
        <v>1272</v>
      </c>
      <c r="I674" s="36" t="s">
        <v>304</v>
      </c>
      <c r="J674" s="39" t="s">
        <v>1307</v>
      </c>
      <c r="K674" s="36" t="s">
        <v>1273</v>
      </c>
      <c r="L674" s="40">
        <v>10260</v>
      </c>
      <c r="M674" s="40">
        <v>14820</v>
      </c>
      <c r="N674" s="41">
        <v>44451</v>
      </c>
      <c r="O674" s="45"/>
      <c r="P674" s="45"/>
      <c r="Q674" s="176" t="e">
        <f>MONTH([1]!Tableau13[[#This Row],[Date début]])</f>
        <v>#REF!</v>
      </c>
      <c r="R674" s="180" t="e">
        <f>YEAR([1]!Tableau13[[#This Row],[Date début]])</f>
        <v>#REF!</v>
      </c>
      <c r="S674" s="44"/>
      <c r="T674" s="44"/>
    </row>
    <row r="675" spans="1:20" s="75" customFormat="1" ht="23.25" customHeight="1">
      <c r="A675" s="35">
        <v>44392</v>
      </c>
      <c r="B675" s="36">
        <v>427</v>
      </c>
      <c r="C675" s="37" t="str">
        <f>IF(ISNA(VLOOKUP(Tableau13[[#This Row],[Code]],'Code Véhicule'!$A$4:$C$185,2,0)),"",VLOOKUP(Tableau13[[#This Row],[Code]],'Code Véhicule'!$A$4:$C$185,2,0))</f>
        <v>Chariot elevateur</v>
      </c>
      <c r="D675" s="38" t="str">
        <f>IF(ISNA(VLOOKUP(Tableau13[[#This Row],[Code]],'Code Véhicule'!$A$4:$C$185,3,0)),"",VLOOKUP(Tableau13[[#This Row],[Code]],'Code Véhicule'!$A$4:$C$185,3,0))</f>
        <v>Linde H30</v>
      </c>
      <c r="E675" s="36" t="str">
        <f>IF(ISNA(VLOOKUP(Tableau13[[#This Row],[Code]],'Code Véhicule'!$A$4:$D$185,4,0))," ",VLOOKUP(Tableau13[[#This Row],[Code]],'Code Véhicule'!$A$4:$D$185,4,0))</f>
        <v>-</v>
      </c>
      <c r="F675" s="36">
        <v>25667</v>
      </c>
      <c r="G675" s="38" t="s">
        <v>393</v>
      </c>
      <c r="H675" s="38" t="s">
        <v>613</v>
      </c>
      <c r="I675" s="36" t="s">
        <v>302</v>
      </c>
      <c r="J675" s="39" t="s">
        <v>521</v>
      </c>
      <c r="K675" s="36">
        <v>169509</v>
      </c>
      <c r="L675" s="40">
        <v>30</v>
      </c>
      <c r="M675" s="40">
        <v>30</v>
      </c>
      <c r="N675" s="41">
        <v>44454</v>
      </c>
      <c r="O675" s="45"/>
      <c r="P675" s="45"/>
      <c r="Q675" s="176" t="e">
        <f>MONTH([1]!Tableau13[[#This Row],[Date début]])</f>
        <v>#REF!</v>
      </c>
      <c r="R675" s="180" t="e">
        <f>YEAR([1]!Tableau13[[#This Row],[Date début]])</f>
        <v>#REF!</v>
      </c>
      <c r="S675" s="44"/>
      <c r="T675" s="44"/>
    </row>
    <row r="676" spans="1:20" s="75" customFormat="1" ht="30" customHeight="1">
      <c r="A676" s="35">
        <v>44393</v>
      </c>
      <c r="B676" s="36">
        <v>407</v>
      </c>
      <c r="C676" s="37" t="str">
        <f>IF(ISNA(VLOOKUP(Tableau13[[#This Row],[Code]],'Code Véhicule'!$A$4:$C$185,2,0)),"",VLOOKUP(Tableau13[[#This Row],[Code]],'Code Véhicule'!$A$4:$C$185,2,0))</f>
        <v>Semi remorque</v>
      </c>
      <c r="D676" s="38" t="str">
        <f>IF(ISNA(VLOOKUP(Tableau13[[#This Row],[Code]],'Code Véhicule'!$A$4:$C$185,3,0)),"",VLOOKUP(Tableau13[[#This Row],[Code]],'Code Véhicule'!$A$4:$C$185,3,0))</f>
        <v>MAN</v>
      </c>
      <c r="E676" s="36" t="str">
        <f>IF(ISNA(VLOOKUP(Tableau13[[#This Row],[Code]],'Code Véhicule'!$A$4:$D$185,4,0))," ",VLOOKUP(Tableau13[[#This Row],[Code]],'Code Véhicule'!$A$4:$D$185,4,0))</f>
        <v>706-A-73</v>
      </c>
      <c r="F676" s="36">
        <v>25623</v>
      </c>
      <c r="G676" s="38" t="s">
        <v>511</v>
      </c>
      <c r="H676" s="38" t="s">
        <v>1249</v>
      </c>
      <c r="I676" s="36" t="s">
        <v>304</v>
      </c>
      <c r="J676" s="39" t="s">
        <v>1250</v>
      </c>
      <c r="K676" s="36">
        <v>166866</v>
      </c>
      <c r="L676" s="40">
        <v>180</v>
      </c>
      <c r="M676" s="40">
        <v>180</v>
      </c>
      <c r="N676" s="41">
        <v>44393</v>
      </c>
      <c r="O676" s="45"/>
      <c r="P676" s="45"/>
      <c r="Q676" s="176" t="e">
        <f>MONTH([1]!Tableau13[[#This Row],[Date début]])</f>
        <v>#REF!</v>
      </c>
      <c r="R676" s="180" t="e">
        <f>YEAR([1]!Tableau13[[#This Row],[Date début]])</f>
        <v>#REF!</v>
      </c>
      <c r="S676" s="44"/>
      <c r="T676" s="44"/>
    </row>
    <row r="677" spans="1:20" s="75" customFormat="1" ht="23.25" customHeight="1">
      <c r="A677" s="35">
        <v>44394</v>
      </c>
      <c r="B677" s="36">
        <v>439</v>
      </c>
      <c r="C677" s="37" t="str">
        <f>IF(ISNA(VLOOKUP(Tableau13[[#This Row],[Code]],'Code Véhicule'!$A$4:$C$185,2,0)),"",VLOOKUP(Tableau13[[#This Row],[Code]],'Code Véhicule'!$A$4:$C$185,2,0))</f>
        <v>Semi remorque</v>
      </c>
      <c r="D677" s="38" t="str">
        <f>IF(ISNA(VLOOKUP(Tableau13[[#This Row],[Code]],'Code Véhicule'!$A$4:$C$185,3,0)),"",VLOOKUP(Tableau13[[#This Row],[Code]],'Code Véhicule'!$A$4:$C$185,3,0))</f>
        <v>VOLVO</v>
      </c>
      <c r="E677" s="36" t="str">
        <f>IF(ISNA(VLOOKUP(Tableau13[[#This Row],[Code]],'Code Véhicule'!$A$4:$D$185,4,0))," ",VLOOKUP(Tableau13[[#This Row],[Code]],'Code Véhicule'!$A$4:$D$185,4,0))</f>
        <v xml:space="preserve">17886-A-73 </v>
      </c>
      <c r="F677" s="36">
        <v>25624</v>
      </c>
      <c r="G677" s="38" t="s">
        <v>560</v>
      </c>
      <c r="H677" s="38" t="s">
        <v>604</v>
      </c>
      <c r="I677" s="36" t="s">
        <v>304</v>
      </c>
      <c r="J677" s="39" t="s">
        <v>530</v>
      </c>
      <c r="K677" s="36">
        <v>166869</v>
      </c>
      <c r="L677" s="40">
        <v>120</v>
      </c>
      <c r="M677" s="40">
        <v>120</v>
      </c>
      <c r="N677" s="41">
        <v>44394</v>
      </c>
      <c r="O677" s="45"/>
      <c r="P677" s="45"/>
      <c r="Q677" s="176" t="e">
        <f>MONTH([1]!Tableau13[[#This Row],[Date début]])</f>
        <v>#REF!</v>
      </c>
      <c r="R677" s="180" t="e">
        <f>YEAR([1]!Tableau13[[#This Row],[Date début]])</f>
        <v>#REF!</v>
      </c>
      <c r="S677" s="44"/>
      <c r="T677" s="44"/>
    </row>
    <row r="678" spans="1:20" s="75" customFormat="1" ht="23.25" customHeight="1">
      <c r="A678" s="35">
        <v>44394</v>
      </c>
      <c r="B678" s="36">
        <v>431</v>
      </c>
      <c r="C678" s="37" t="str">
        <f>IF(ISNA(VLOOKUP(Tableau13[[#This Row],[Code]],'Code Véhicule'!$A$4:$C$185,2,0)),"",VLOOKUP(Tableau13[[#This Row],[Code]],'Code Véhicule'!$A$4:$C$185,2,0))</f>
        <v>Chariot elevateur</v>
      </c>
      <c r="D678" s="38" t="str">
        <f>IF(ISNA(VLOOKUP(Tableau13[[#This Row],[Code]],'Code Véhicule'!$A$4:$C$185,3,0)),"",VLOOKUP(Tableau13[[#This Row],[Code]],'Code Véhicule'!$A$4:$C$185,3,0))</f>
        <v>Manitou M26-2</v>
      </c>
      <c r="E678" s="36" t="str">
        <f>IF(ISNA(VLOOKUP(Tableau13[[#This Row],[Code]],'Code Véhicule'!$A$4:$D$185,4,0))," ",VLOOKUP(Tableau13[[#This Row],[Code]],'Code Véhicule'!$A$4:$D$185,4,0))</f>
        <v>-</v>
      </c>
      <c r="F678" s="36">
        <v>25625</v>
      </c>
      <c r="G678" s="38" t="s">
        <v>635</v>
      </c>
      <c r="H678" s="38" t="s">
        <v>601</v>
      </c>
      <c r="I678" s="36" t="s">
        <v>304</v>
      </c>
      <c r="J678" s="39" t="s">
        <v>1251</v>
      </c>
      <c r="K678" s="36">
        <v>166870</v>
      </c>
      <c r="L678" s="40">
        <v>240</v>
      </c>
      <c r="M678" s="40">
        <v>240</v>
      </c>
      <c r="N678" s="41">
        <v>44394</v>
      </c>
      <c r="O678" s="45"/>
      <c r="P678" s="45"/>
      <c r="Q678" s="176" t="e">
        <f>MONTH([1]!Tableau13[[#This Row],[Date début]])</f>
        <v>#REF!</v>
      </c>
      <c r="R678" s="180" t="e">
        <f>YEAR([1]!Tableau13[[#This Row],[Date début]])</f>
        <v>#REF!</v>
      </c>
      <c r="S678" s="44"/>
      <c r="T678" s="44"/>
    </row>
    <row r="679" spans="1:20" s="75" customFormat="1" ht="23.25" customHeight="1">
      <c r="A679" s="35">
        <v>44394</v>
      </c>
      <c r="B679" s="36">
        <v>481</v>
      </c>
      <c r="C679" s="37" t="str">
        <f>IF(ISNA(VLOOKUP(Tableau13[[#This Row],[Code]],'Code Véhicule'!$A$4:$C$185,2,0)),"",VLOOKUP(Tableau13[[#This Row],[Code]],'Code Véhicule'!$A$4:$C$185,2,0))</f>
        <v>Camion</v>
      </c>
      <c r="D679" s="38" t="str">
        <f>IF(ISNA(VLOOKUP(Tableau13[[#This Row],[Code]],'Code Véhicule'!$A$4:$C$185,3,0)),"",VLOOKUP(Tableau13[[#This Row],[Code]],'Code Véhicule'!$A$4:$C$185,3,0))</f>
        <v>VOLVO</v>
      </c>
      <c r="E679" s="36" t="str">
        <f>IF(ISNA(VLOOKUP(Tableau13[[#This Row],[Code]],'Code Véhicule'!$A$4:$D$185,4,0))," ",VLOOKUP(Tableau13[[#This Row],[Code]],'Code Véhicule'!$A$4:$D$185,4,0))</f>
        <v>22300-A-73</v>
      </c>
      <c r="F679" s="36">
        <v>25626</v>
      </c>
      <c r="G679" s="38" t="s">
        <v>511</v>
      </c>
      <c r="H679" s="38" t="s">
        <v>672</v>
      </c>
      <c r="I679" s="36" t="s">
        <v>304</v>
      </c>
      <c r="J679" s="39" t="s">
        <v>1252</v>
      </c>
      <c r="K679" s="36">
        <v>166871</v>
      </c>
      <c r="L679" s="40">
        <v>120</v>
      </c>
      <c r="M679" s="40">
        <v>120</v>
      </c>
      <c r="N679" s="41">
        <v>44394</v>
      </c>
      <c r="O679" s="45"/>
      <c r="P679" s="45"/>
      <c r="Q679" s="176" t="e">
        <f>MONTH([1]!Tableau13[[#This Row],[Date début]])</f>
        <v>#REF!</v>
      </c>
      <c r="R679" s="180" t="e">
        <f>YEAR([1]!Tableau13[[#This Row],[Date début]])</f>
        <v>#REF!</v>
      </c>
      <c r="S679" s="44"/>
      <c r="T679" s="44"/>
    </row>
    <row r="680" spans="1:20" s="75" customFormat="1" ht="23.25" customHeight="1">
      <c r="A680" s="35">
        <v>44403</v>
      </c>
      <c r="B680" s="36">
        <v>439</v>
      </c>
      <c r="C680" s="37" t="str">
        <f>IF(ISNA(VLOOKUP(Tableau13[[#This Row],[Code]],'Code Véhicule'!$A$4:$C$185,2,0)),"",VLOOKUP(Tableau13[[#This Row],[Code]],'Code Véhicule'!$A$4:$C$185,2,0))</f>
        <v>Semi remorque</v>
      </c>
      <c r="D680" s="38" t="str">
        <f>IF(ISNA(VLOOKUP(Tableau13[[#This Row],[Code]],'Code Véhicule'!$A$4:$C$185,3,0)),"",VLOOKUP(Tableau13[[#This Row],[Code]],'Code Véhicule'!$A$4:$C$185,3,0))</f>
        <v>VOLVO</v>
      </c>
      <c r="E680" s="36" t="str">
        <f>IF(ISNA(VLOOKUP(Tableau13[[#This Row],[Code]],'Code Véhicule'!$A$4:$D$185,4,0))," ",VLOOKUP(Tableau13[[#This Row],[Code]],'Code Véhicule'!$A$4:$D$185,4,0))</f>
        <v xml:space="preserve">17886-A-73 </v>
      </c>
      <c r="F680" s="36">
        <v>25630</v>
      </c>
      <c r="G680" s="38" t="s">
        <v>560</v>
      </c>
      <c r="H680" s="38" t="s">
        <v>604</v>
      </c>
      <c r="I680" s="36" t="s">
        <v>304</v>
      </c>
      <c r="J680" s="39" t="s">
        <v>1258</v>
      </c>
      <c r="K680" s="36">
        <v>166874</v>
      </c>
      <c r="L680" s="40">
        <v>120</v>
      </c>
      <c r="M680" s="40">
        <v>120</v>
      </c>
      <c r="N680" s="41">
        <v>44403</v>
      </c>
      <c r="O680" s="45"/>
      <c r="P680" s="45"/>
      <c r="Q680" s="176" t="e">
        <f>MONTH([1]!Tableau13[[#This Row],[Date début]])</f>
        <v>#REF!</v>
      </c>
      <c r="R680" s="180" t="e">
        <f>YEAR([1]!Tableau13[[#This Row],[Date début]])</f>
        <v>#REF!</v>
      </c>
      <c r="S680" s="44"/>
      <c r="T680" s="44"/>
    </row>
    <row r="681" spans="1:20" s="75" customFormat="1" ht="23.25" customHeight="1">
      <c r="A681" s="35">
        <v>44404</v>
      </c>
      <c r="B681" s="36">
        <v>409</v>
      </c>
      <c r="C681" s="37" t="str">
        <f>IF(ISNA(VLOOKUP(Tableau13[[#This Row],[Code]],'Code Véhicule'!$A$4:$C$185,2,0)),"",VLOOKUP(Tableau13[[#This Row],[Code]],'Code Véhicule'!$A$4:$C$185,2,0))</f>
        <v>Camion</v>
      </c>
      <c r="D681" s="38" t="str">
        <f>IF(ISNA(VLOOKUP(Tableau13[[#This Row],[Code]],'Code Véhicule'!$A$4:$C$185,3,0)),"",VLOOKUP(Tableau13[[#This Row],[Code]],'Code Véhicule'!$A$4:$C$185,3,0))</f>
        <v>Mitsubishi</v>
      </c>
      <c r="E681" s="36" t="str">
        <f>IF(ISNA(VLOOKUP(Tableau13[[#This Row],[Code]],'Code Véhicule'!$A$4:$D$185,4,0))," ",VLOOKUP(Tableau13[[#This Row],[Code]],'Code Véhicule'!$A$4:$D$185,4,0))</f>
        <v xml:space="preserve">4969-A-73 </v>
      </c>
      <c r="F681" s="36">
        <v>25631</v>
      </c>
      <c r="G681" s="38" t="s">
        <v>493</v>
      </c>
      <c r="H681" s="38" t="s">
        <v>1031</v>
      </c>
      <c r="I681" s="36" t="s">
        <v>304</v>
      </c>
      <c r="J681" s="39" t="s">
        <v>1259</v>
      </c>
      <c r="K681" s="36">
        <v>166875</v>
      </c>
      <c r="L681" s="40">
        <v>180</v>
      </c>
      <c r="M681" s="40">
        <v>180</v>
      </c>
      <c r="N681" s="41">
        <v>44404</v>
      </c>
      <c r="O681" s="45"/>
      <c r="P681" s="45"/>
      <c r="Q681" s="176" t="e">
        <f>MONTH([1]!Tableau13[[#This Row],[Date début]])</f>
        <v>#REF!</v>
      </c>
      <c r="R681" s="180" t="e">
        <f>YEAR([1]!Tableau13[[#This Row],[Date début]])</f>
        <v>#REF!</v>
      </c>
      <c r="S681" s="44"/>
      <c r="T681" s="44"/>
    </row>
    <row r="682" spans="1:20" s="75" customFormat="1" ht="105" customHeight="1">
      <c r="A682" s="35">
        <v>44405</v>
      </c>
      <c r="B682" s="36">
        <v>410</v>
      </c>
      <c r="C682" s="37" t="str">
        <f>IF(ISNA(VLOOKUP(Tableau13[[#This Row],[Code]],'Code Véhicule'!$A$4:$C$185,2,0)),"",VLOOKUP(Tableau13[[#This Row],[Code]],'Code Véhicule'!$A$4:$C$185,2,0))</f>
        <v>Semi remorque</v>
      </c>
      <c r="D682" s="38" t="str">
        <f>IF(ISNA(VLOOKUP(Tableau13[[#This Row],[Code]],'Code Véhicule'!$A$4:$C$185,3,0)),"",VLOOKUP(Tableau13[[#This Row],[Code]],'Code Véhicule'!$A$4:$C$185,3,0))</f>
        <v>MAN</v>
      </c>
      <c r="E682" s="36" t="str">
        <f>IF(ISNA(VLOOKUP(Tableau13[[#This Row],[Code]],'Code Véhicule'!$A$4:$D$185,4,0))," ",VLOOKUP(Tableau13[[#This Row],[Code]],'Code Véhicule'!$A$4:$D$185,4,0))</f>
        <v xml:space="preserve">28659-D-1 </v>
      </c>
      <c r="F682" s="36">
        <v>25629</v>
      </c>
      <c r="G682" s="38" t="s">
        <v>610</v>
      </c>
      <c r="H682" s="38" t="s">
        <v>1128</v>
      </c>
      <c r="I682" s="36" t="s">
        <v>304</v>
      </c>
      <c r="J682" s="39" t="s">
        <v>1309</v>
      </c>
      <c r="K682" s="36" t="s">
        <v>1257</v>
      </c>
      <c r="L682" s="40">
        <v>3420</v>
      </c>
      <c r="M682" s="40">
        <v>6840</v>
      </c>
      <c r="N682" s="41">
        <v>44418</v>
      </c>
      <c r="O682" s="45"/>
      <c r="P682" s="45"/>
      <c r="Q682" s="176" t="e">
        <f>MONTH([1]!Tableau13[[#This Row],[Date début]])</f>
        <v>#REF!</v>
      </c>
      <c r="R682" s="180" t="e">
        <f>YEAR([1]!Tableau13[[#This Row],[Date début]])</f>
        <v>#REF!</v>
      </c>
      <c r="S682" s="44"/>
      <c r="T682" s="44"/>
    </row>
    <row r="683" spans="1:20" s="75" customFormat="1" ht="45" customHeight="1">
      <c r="A683" s="35">
        <v>44406</v>
      </c>
      <c r="B683" s="36" t="s">
        <v>1260</v>
      </c>
      <c r="C683" s="37" t="str">
        <f>IF(ISNA(VLOOKUP(Tableau13[[#This Row],[Code]],'Code Véhicule'!$A$4:$C$185,2,0)),"",VLOOKUP(Tableau13[[#This Row],[Code]],'Code Véhicule'!$A$4:$C$185,2,0))</f>
        <v>Semi remorque</v>
      </c>
      <c r="D683" s="38" t="str">
        <f>IF(ISNA(VLOOKUP(Tableau13[[#This Row],[Code]],'Code Véhicule'!$A$4:$C$185,3,0)),"",VLOOKUP(Tableau13[[#This Row],[Code]],'Code Véhicule'!$A$4:$C$185,3,0))</f>
        <v>MAN</v>
      </c>
      <c r="E683" s="36" t="str">
        <f>IF(ISNA(VLOOKUP(Tableau13[[#This Row],[Code]],'Code Véhicule'!$A$4:$D$185,4,0))," ",VLOOKUP(Tableau13[[#This Row],[Code]],'Code Véhicule'!$A$4:$D$185,4,0))</f>
        <v>28661-D-1</v>
      </c>
      <c r="F683" s="36">
        <v>25632</v>
      </c>
      <c r="G683" s="38" t="s">
        <v>393</v>
      </c>
      <c r="H683" s="38" t="s">
        <v>608</v>
      </c>
      <c r="I683" s="36" t="s">
        <v>304</v>
      </c>
      <c r="J683" s="39" t="s">
        <v>1261</v>
      </c>
      <c r="K683" s="36">
        <v>166881</v>
      </c>
      <c r="L683" s="40">
        <v>120</v>
      </c>
      <c r="M683" s="40">
        <v>120</v>
      </c>
      <c r="N683" s="41">
        <v>44406</v>
      </c>
      <c r="O683" s="45"/>
      <c r="P683" s="45"/>
      <c r="Q683" s="176" t="e">
        <f>MONTH([1]!Tableau13[[#This Row],[Date début]])</f>
        <v>#REF!</v>
      </c>
      <c r="R683" s="180" t="e">
        <f>YEAR([1]!Tableau13[[#This Row],[Date début]])</f>
        <v>#REF!</v>
      </c>
      <c r="S683" s="44"/>
      <c r="T683" s="44"/>
    </row>
    <row r="684" spans="1:20" s="75" customFormat="1" ht="30" customHeight="1">
      <c r="A684" s="35">
        <v>44406</v>
      </c>
      <c r="B684" s="36">
        <v>417</v>
      </c>
      <c r="C684" s="37" t="str">
        <f>IF(ISNA(VLOOKUP(Tableau13[[#This Row],[Code]],'Code Véhicule'!$A$4:$C$185,2,0)),"",VLOOKUP(Tableau13[[#This Row],[Code]],'Code Véhicule'!$A$4:$C$185,2,0))</f>
        <v>Voiture de fonction</v>
      </c>
      <c r="D684" s="38" t="str">
        <f>IF(ISNA(VLOOKUP(Tableau13[[#This Row],[Code]],'Code Véhicule'!$A$4:$C$185,3,0)),"",VLOOKUP(Tableau13[[#This Row],[Code]],'Code Véhicule'!$A$4:$C$185,3,0))</f>
        <v>Berlingo</v>
      </c>
      <c r="E684" s="36" t="str">
        <f>IF(ISNA(VLOOKUP(Tableau13[[#This Row],[Code]],'Code Véhicule'!$A$4:$D$185,4,0))," ",VLOOKUP(Tableau13[[#This Row],[Code]],'Code Véhicule'!$A$4:$D$185,4,0))</f>
        <v>981-A-73</v>
      </c>
      <c r="F684" s="36">
        <v>25636</v>
      </c>
      <c r="G684" s="38" t="s">
        <v>1265</v>
      </c>
      <c r="H684" s="38" t="s">
        <v>985</v>
      </c>
      <c r="I684" s="36" t="s">
        <v>304</v>
      </c>
      <c r="J684" s="39" t="s">
        <v>1266</v>
      </c>
      <c r="K684" s="36">
        <v>167812</v>
      </c>
      <c r="L684" s="40">
        <v>2850</v>
      </c>
      <c r="M684" s="40">
        <v>4560</v>
      </c>
      <c r="N684" s="41">
        <v>44416</v>
      </c>
      <c r="O684" s="45"/>
      <c r="P684" s="45"/>
      <c r="Q684" s="176" t="e">
        <f>MONTH([1]!Tableau13[[#This Row],[Date début]])</f>
        <v>#REF!</v>
      </c>
      <c r="R684" s="180" t="e">
        <f>YEAR([1]!Tableau13[[#This Row],[Date début]])</f>
        <v>#REF!</v>
      </c>
      <c r="S684" s="44"/>
      <c r="T684" s="44"/>
    </row>
    <row r="685" spans="1:20" s="75" customFormat="1" ht="23.25" customHeight="1">
      <c r="A685" s="35">
        <v>44407</v>
      </c>
      <c r="B685" s="36">
        <v>434</v>
      </c>
      <c r="C685" s="37" t="str">
        <f>IF(ISNA(VLOOKUP(Tableau13[[#This Row],[Code]],'Code Véhicule'!$A$4:$C$185,2,0)),"",VLOOKUP(Tableau13[[#This Row],[Code]],'Code Véhicule'!$A$4:$C$185,2,0))</f>
        <v>Chariot elevateur</v>
      </c>
      <c r="D685" s="38" t="str">
        <f>IF(ISNA(VLOOKUP(Tableau13[[#This Row],[Code]],'Code Véhicule'!$A$4:$C$185,3,0)),"",VLOOKUP(Tableau13[[#This Row],[Code]],'Code Véhicule'!$A$4:$C$185,3,0))</f>
        <v>Linde H30D</v>
      </c>
      <c r="E685" s="36" t="str">
        <f>IF(ISNA(VLOOKUP(Tableau13[[#This Row],[Code]],'Code Véhicule'!$A$4:$D$185,4,0))," ",VLOOKUP(Tableau13[[#This Row],[Code]],'Code Véhicule'!$A$4:$D$185,4,0))</f>
        <v>-</v>
      </c>
      <c r="F685" s="36">
        <v>256331</v>
      </c>
      <c r="G685" s="38" t="s">
        <v>393</v>
      </c>
      <c r="H685" s="38" t="s">
        <v>613</v>
      </c>
      <c r="I685" s="36" t="s">
        <v>302</v>
      </c>
      <c r="J685" s="39" t="s">
        <v>521</v>
      </c>
      <c r="K685" s="36">
        <v>166882</v>
      </c>
      <c r="L685" s="40">
        <v>30</v>
      </c>
      <c r="M685" s="40">
        <v>60</v>
      </c>
      <c r="N685" s="41">
        <v>44407</v>
      </c>
      <c r="O685" s="45"/>
      <c r="P685" s="45"/>
      <c r="Q685" s="176" t="e">
        <f>MONTH([1]!Tableau13[[#This Row],[Date début]])</f>
        <v>#REF!</v>
      </c>
      <c r="R685" s="180" t="e">
        <f>YEAR([1]!Tableau13[[#This Row],[Date début]])</f>
        <v>#REF!</v>
      </c>
      <c r="S685" s="44"/>
      <c r="T685" s="44"/>
    </row>
    <row r="686" spans="1:20" s="75" customFormat="1" ht="165" customHeight="1">
      <c r="A686" s="35">
        <v>44408</v>
      </c>
      <c r="B686" s="36">
        <v>401</v>
      </c>
      <c r="C686" s="37" t="str">
        <f>IF(ISNA(VLOOKUP(Tableau13[[#This Row],[Code]],'Code Véhicule'!$A$4:$C$185,2,0)),"",VLOOKUP(Tableau13[[#This Row],[Code]],'Code Véhicule'!$A$4:$C$185,2,0))</f>
        <v>Camion</v>
      </c>
      <c r="D686" s="38" t="str">
        <f>IF(ISNA(VLOOKUP(Tableau13[[#This Row],[Code]],'Code Véhicule'!$A$4:$C$185,3,0)),"",VLOOKUP(Tableau13[[#This Row],[Code]],'Code Véhicule'!$A$4:$C$185,3,0))</f>
        <v>ISUZU</v>
      </c>
      <c r="E686" s="36" t="str">
        <f>IF(ISNA(VLOOKUP(Tableau13[[#This Row],[Code]],'Code Véhicule'!$A$4:$D$185,4,0))," ",VLOOKUP(Tableau13[[#This Row],[Code]],'Code Véhicule'!$A$4:$D$185,4,0))</f>
        <v>26128-A-8</v>
      </c>
      <c r="F686" s="36">
        <v>25628</v>
      </c>
      <c r="G686" s="38" t="s">
        <v>610</v>
      </c>
      <c r="H686" s="38" t="s">
        <v>625</v>
      </c>
      <c r="I686" s="36" t="s">
        <v>304</v>
      </c>
      <c r="J686" s="39" t="s">
        <v>1308</v>
      </c>
      <c r="K686" s="36" t="s">
        <v>1256</v>
      </c>
      <c r="L686" s="40">
        <v>5700</v>
      </c>
      <c r="M686" s="40">
        <v>17100</v>
      </c>
      <c r="N686" s="41">
        <v>44449</v>
      </c>
      <c r="O686" s="45"/>
      <c r="P686" s="45"/>
      <c r="Q686" s="176" t="e">
        <f>MONTH([1]!Tableau13[[#This Row],[Date début]])</f>
        <v>#REF!</v>
      </c>
      <c r="R686" s="180" t="e">
        <f>YEAR([1]!Tableau13[[#This Row],[Date début]])</f>
        <v>#REF!</v>
      </c>
      <c r="S686" s="44"/>
      <c r="T686" s="44"/>
    </row>
    <row r="687" spans="1:20" s="75" customFormat="1" ht="23.25" customHeight="1">
      <c r="A687" s="35">
        <v>44410</v>
      </c>
      <c r="B687" s="36" t="s">
        <v>1260</v>
      </c>
      <c r="C687" s="37" t="str">
        <f>IF(ISNA(VLOOKUP(Tableau13[[#This Row],[Code]],'Code Véhicule'!$A$4:$C$185,2,0)),"",VLOOKUP(Tableau13[[#This Row],[Code]],'Code Véhicule'!$A$4:$C$185,2,0))</f>
        <v>Semi remorque</v>
      </c>
      <c r="D687" s="38" t="str">
        <f>IF(ISNA(VLOOKUP(Tableau13[[#This Row],[Code]],'Code Véhicule'!$A$4:$C$185,3,0)),"",VLOOKUP(Tableau13[[#This Row],[Code]],'Code Véhicule'!$A$4:$C$185,3,0))</f>
        <v>MAN</v>
      </c>
      <c r="E687" s="36" t="str">
        <f>IF(ISNA(VLOOKUP(Tableau13[[#This Row],[Code]],'Code Véhicule'!$A$4:$D$185,4,0))," ",VLOOKUP(Tableau13[[#This Row],[Code]],'Code Véhicule'!$A$4:$D$185,4,0))</f>
        <v>28661-D-1</v>
      </c>
      <c r="F687" s="36">
        <v>25634</v>
      </c>
      <c r="G687" s="38" t="s">
        <v>393</v>
      </c>
      <c r="H687" s="38" t="s">
        <v>613</v>
      </c>
      <c r="I687" s="36" t="s">
        <v>304</v>
      </c>
      <c r="J687" s="39" t="s">
        <v>1262</v>
      </c>
      <c r="K687" s="36">
        <v>166890</v>
      </c>
      <c r="L687" s="40">
        <v>30</v>
      </c>
      <c r="M687" s="40">
        <v>30</v>
      </c>
      <c r="N687" s="41">
        <v>44410</v>
      </c>
      <c r="O687" s="45"/>
      <c r="P687" s="45"/>
      <c r="Q687" s="176" t="e">
        <f>MONTH([1]!Tableau13[[#This Row],[Date début]])</f>
        <v>#REF!</v>
      </c>
      <c r="R687" s="180" t="e">
        <f>YEAR([1]!Tableau13[[#This Row],[Date début]])</f>
        <v>#REF!</v>
      </c>
      <c r="S687" s="44"/>
      <c r="T687" s="44"/>
    </row>
    <row r="688" spans="1:20" s="75" customFormat="1" ht="30" customHeight="1">
      <c r="A688" s="35">
        <v>44411</v>
      </c>
      <c r="B688" s="36">
        <v>434</v>
      </c>
      <c r="C688" s="37" t="str">
        <f>IF(ISNA(VLOOKUP(Tableau13[[#This Row],[Code]],'Code Véhicule'!$A$4:$C$185,2,0)),"",VLOOKUP(Tableau13[[#This Row],[Code]],'Code Véhicule'!$A$4:$C$185,2,0))</f>
        <v>Chariot elevateur</v>
      </c>
      <c r="D688" s="38" t="str">
        <f>IF(ISNA(VLOOKUP(Tableau13[[#This Row],[Code]],'Code Véhicule'!$A$4:$C$185,3,0)),"",VLOOKUP(Tableau13[[#This Row],[Code]],'Code Véhicule'!$A$4:$C$185,3,0))</f>
        <v>Linde H30D</v>
      </c>
      <c r="E688" s="36" t="str">
        <f>IF(ISNA(VLOOKUP(Tableau13[[#This Row],[Code]],'Code Véhicule'!$A$4:$D$185,4,0))," ",VLOOKUP(Tableau13[[#This Row],[Code]],'Code Véhicule'!$A$4:$D$185,4,0))</f>
        <v>-</v>
      </c>
      <c r="F688" s="36">
        <v>25635</v>
      </c>
      <c r="G688" s="38" t="s">
        <v>493</v>
      </c>
      <c r="H688" s="38" t="s">
        <v>1263</v>
      </c>
      <c r="I688" s="36" t="s">
        <v>304</v>
      </c>
      <c r="J688" s="39" t="s">
        <v>1264</v>
      </c>
      <c r="K688" s="36">
        <v>166895</v>
      </c>
      <c r="L688" s="40">
        <v>180</v>
      </c>
      <c r="M688" s="40">
        <v>180</v>
      </c>
      <c r="N688" s="41">
        <v>44411</v>
      </c>
      <c r="O688" s="45"/>
      <c r="P688" s="45"/>
      <c r="Q688" s="176" t="e">
        <f>MONTH([1]!Tableau13[[#This Row],[Date début]])</f>
        <v>#REF!</v>
      </c>
      <c r="R688" s="180" t="e">
        <f>YEAR([1]!Tableau13[[#This Row],[Date début]])</f>
        <v>#REF!</v>
      </c>
      <c r="S688" s="44"/>
      <c r="T688" s="44"/>
    </row>
    <row r="689" spans="1:20" s="75" customFormat="1" ht="75" customHeight="1">
      <c r="A689" s="35">
        <v>44412</v>
      </c>
      <c r="B689" s="36">
        <v>411</v>
      </c>
      <c r="C689" s="37" t="str">
        <f>IF(ISNA(VLOOKUP(Tableau13[[#This Row],[Code]],'Code Véhicule'!$A$4:$C$185,2,0)),"",VLOOKUP(Tableau13[[#This Row],[Code]],'Code Véhicule'!$A$4:$C$185,2,0))</f>
        <v>Camion</v>
      </c>
      <c r="D689" s="38" t="str">
        <f>IF(ISNA(VLOOKUP(Tableau13[[#This Row],[Code]],'Code Véhicule'!$A$4:$C$185,3,0)),"",VLOOKUP(Tableau13[[#This Row],[Code]],'Code Véhicule'!$A$4:$C$185,3,0))</f>
        <v>Renault</v>
      </c>
      <c r="E689" s="36" t="str">
        <f>IF(ISNA(VLOOKUP(Tableau13[[#This Row],[Code]],'Code Véhicule'!$A$4:$D$185,4,0))," ",VLOOKUP(Tableau13[[#This Row],[Code]],'Code Véhicule'!$A$4:$D$185,4,0))</f>
        <v>25636-A-13</v>
      </c>
      <c r="F689" s="36">
        <v>25643</v>
      </c>
      <c r="G689" s="38" t="s">
        <v>511</v>
      </c>
      <c r="H689" s="38" t="s">
        <v>672</v>
      </c>
      <c r="I689" s="36" t="s">
        <v>304</v>
      </c>
      <c r="J689" s="39" t="s">
        <v>1275</v>
      </c>
      <c r="K689" s="36" t="s">
        <v>1276</v>
      </c>
      <c r="L689" s="40">
        <v>120</v>
      </c>
      <c r="M689" s="40">
        <v>120</v>
      </c>
      <c r="N689" s="41">
        <v>44412</v>
      </c>
      <c r="O689" s="45"/>
      <c r="P689" s="45"/>
      <c r="Q689" s="176" t="e">
        <f>MONTH([1]!Tableau13[[#This Row],[Date début]])</f>
        <v>#REF!</v>
      </c>
      <c r="R689" s="180" t="e">
        <f>YEAR([1]!Tableau13[[#This Row],[Date début]])</f>
        <v>#REF!</v>
      </c>
      <c r="S689" s="44"/>
      <c r="T689" s="44"/>
    </row>
    <row r="690" spans="1:20" s="75" customFormat="1" ht="23.25">
      <c r="A690" s="35">
        <v>44414</v>
      </c>
      <c r="B690" s="36">
        <v>479</v>
      </c>
      <c r="C690" s="37" t="str">
        <f>IF(ISNA(VLOOKUP(Tableau13[[#This Row],[Code]],'Code Véhicule'!$A$4:$C$185,2,0)),"",VLOOKUP(Tableau13[[#This Row],[Code]],'Code Véhicule'!$A$4:$C$185,2,0))</f>
        <v>Bus de transport</v>
      </c>
      <c r="D690" s="38" t="str">
        <f>IF(ISNA(VLOOKUP(Tableau13[[#This Row],[Code]],'Code Véhicule'!$A$4:$C$185,3,0)),"",VLOOKUP(Tableau13[[#This Row],[Code]],'Code Véhicule'!$A$4:$C$185,3,0))</f>
        <v>Hyundai County</v>
      </c>
      <c r="E690" s="36" t="str">
        <f>IF(ISNA(VLOOKUP(Tableau13[[#This Row],[Code]],'Code Véhicule'!$A$4:$D$185,4,0))," ",VLOOKUP(Tableau13[[#This Row],[Code]],'Code Véhicule'!$A$4:$D$185,4,0))</f>
        <v>22772-A-73</v>
      </c>
      <c r="F690" s="36">
        <v>25638</v>
      </c>
      <c r="G690" s="38" t="s">
        <v>560</v>
      </c>
      <c r="H690" s="38" t="s">
        <v>604</v>
      </c>
      <c r="I690" s="36" t="s">
        <v>304</v>
      </c>
      <c r="J690" s="39" t="s">
        <v>1269</v>
      </c>
      <c r="K690" s="36">
        <v>167814</v>
      </c>
      <c r="L690" s="40">
        <v>30</v>
      </c>
      <c r="M690" s="40">
        <v>30</v>
      </c>
      <c r="N690" s="41">
        <v>44414</v>
      </c>
      <c r="O690" s="45"/>
      <c r="P690" s="45"/>
      <c r="Q690" s="176" t="e">
        <f>MONTH([1]!Tableau13[[#This Row],[Date début]])</f>
        <v>#REF!</v>
      </c>
      <c r="R690" s="180" t="e">
        <f>YEAR([1]!Tableau13[[#This Row],[Date début]])</f>
        <v>#REF!</v>
      </c>
      <c r="S690" s="44"/>
      <c r="T690" s="44"/>
    </row>
    <row r="691" spans="1:20" s="75" customFormat="1" ht="30" customHeight="1">
      <c r="A691" s="35">
        <v>44414</v>
      </c>
      <c r="B691" s="36">
        <v>438</v>
      </c>
      <c r="C691" s="37" t="str">
        <f>IF(ISNA(VLOOKUP(Tableau13[[#This Row],[Code]],'Code Véhicule'!$A$4:$C$185,2,0)),"",VLOOKUP(Tableau13[[#This Row],[Code]],'Code Véhicule'!$A$4:$C$185,2,0))</f>
        <v>Semi remorque</v>
      </c>
      <c r="D691" s="38" t="str">
        <f>IF(ISNA(VLOOKUP(Tableau13[[#This Row],[Code]],'Code Véhicule'!$A$4:$C$185,3,0)),"",VLOOKUP(Tableau13[[#This Row],[Code]],'Code Véhicule'!$A$4:$C$185,3,0))</f>
        <v>VOLVO</v>
      </c>
      <c r="E691" s="36" t="str">
        <f>IF(ISNA(VLOOKUP(Tableau13[[#This Row],[Code]],'Code Véhicule'!$A$4:$D$185,4,0))," ",VLOOKUP(Tableau13[[#This Row],[Code]],'Code Véhicule'!$A$4:$D$185,4,0))</f>
        <v xml:space="preserve">17885-A-73 </v>
      </c>
      <c r="F691" s="36">
        <v>25639</v>
      </c>
      <c r="G691" s="38" t="s">
        <v>353</v>
      </c>
      <c r="H691" s="38" t="s">
        <v>1034</v>
      </c>
      <c r="I691" s="36" t="s">
        <v>304</v>
      </c>
      <c r="J691" s="39" t="s">
        <v>1270</v>
      </c>
      <c r="K691" s="36" t="s">
        <v>1271</v>
      </c>
      <c r="L691" s="40">
        <v>120</v>
      </c>
      <c r="M691" s="40">
        <v>120</v>
      </c>
      <c r="N691" s="41">
        <v>44414</v>
      </c>
      <c r="O691" s="45"/>
      <c r="P691" s="45"/>
      <c r="Q691" s="176" t="e">
        <f>MONTH([1]!Tableau13[[#This Row],[Date début]])</f>
        <v>#REF!</v>
      </c>
      <c r="R691" s="180" t="e">
        <f>YEAR([1]!Tableau13[[#This Row],[Date début]])</f>
        <v>#REF!</v>
      </c>
      <c r="S691" s="44"/>
      <c r="T691" s="44"/>
    </row>
    <row r="692" spans="1:20" s="75" customFormat="1" ht="30">
      <c r="A692" s="35">
        <v>44415</v>
      </c>
      <c r="B692" s="36">
        <v>479</v>
      </c>
      <c r="C692" s="37" t="str">
        <f>IF(ISNA(VLOOKUP(Tableau13[[#This Row],[Code]],'Code Véhicule'!$A$4:$C$185,2,0)),"",VLOOKUP(Tableau13[[#This Row],[Code]],'Code Véhicule'!$A$4:$C$185,2,0))</f>
        <v>Bus de transport</v>
      </c>
      <c r="D692" s="38" t="str">
        <f>IF(ISNA(VLOOKUP(Tableau13[[#This Row],[Code]],'Code Véhicule'!$A$4:$C$185,3,0)),"",VLOOKUP(Tableau13[[#This Row],[Code]],'Code Véhicule'!$A$4:$C$185,3,0))</f>
        <v>Hyundai County</v>
      </c>
      <c r="E692" s="36" t="str">
        <f>IF(ISNA(VLOOKUP(Tableau13[[#This Row],[Code]],'Code Véhicule'!$A$4:$D$185,4,0))," ",VLOOKUP(Tableau13[[#This Row],[Code]],'Code Véhicule'!$A$4:$D$185,4,0))</f>
        <v>22772-A-73</v>
      </c>
      <c r="F692" s="36">
        <v>25642</v>
      </c>
      <c r="G692" s="38" t="s">
        <v>393</v>
      </c>
      <c r="H692" s="38" t="s">
        <v>608</v>
      </c>
      <c r="I692" s="36" t="s">
        <v>504</v>
      </c>
      <c r="J692" s="39" t="s">
        <v>1274</v>
      </c>
      <c r="K692" s="36">
        <v>167820</v>
      </c>
      <c r="L692" s="40">
        <v>120</v>
      </c>
      <c r="M692" s="40">
        <v>120</v>
      </c>
      <c r="N692" s="41">
        <v>44415</v>
      </c>
      <c r="O692" s="45"/>
      <c r="P692" s="45"/>
      <c r="Q692" s="176" t="e">
        <f>MONTH([1]!Tableau13[[#This Row],[Date début]])</f>
        <v>#REF!</v>
      </c>
      <c r="R692" s="180" t="e">
        <f>YEAR([1]!Tableau13[[#This Row],[Date début]])</f>
        <v>#REF!</v>
      </c>
      <c r="S692" s="44"/>
      <c r="T692" s="44"/>
    </row>
    <row r="693" spans="1:20" s="75" customFormat="1" ht="60" customHeight="1">
      <c r="A693" s="35">
        <v>44417</v>
      </c>
      <c r="B693" s="36">
        <v>435</v>
      </c>
      <c r="C693" s="37" t="str">
        <f>IF(ISNA(VLOOKUP(Tableau13[[#This Row],[Code]],'Code Véhicule'!$A$4:$C$185,2,0)),"",VLOOKUP(Tableau13[[#This Row],[Code]],'Code Véhicule'!$A$4:$C$185,2,0))</f>
        <v>Camion</v>
      </c>
      <c r="D693" s="38" t="str">
        <f>IF(ISNA(VLOOKUP(Tableau13[[#This Row],[Code]],'Code Véhicule'!$A$4:$C$185,3,0)),"",VLOOKUP(Tableau13[[#This Row],[Code]],'Code Véhicule'!$A$4:$C$185,3,0))</f>
        <v>Mitsubishi</v>
      </c>
      <c r="E693" s="36" t="str">
        <f>IF(ISNA(VLOOKUP(Tableau13[[#This Row],[Code]],'Code Véhicule'!$A$4:$D$185,4,0))," ",VLOOKUP(Tableau13[[#This Row],[Code]],'Code Véhicule'!$A$4:$D$185,4,0))</f>
        <v xml:space="preserve"> 11469-A-73</v>
      </c>
      <c r="F693" s="36">
        <v>25627</v>
      </c>
      <c r="G693" s="38" t="s">
        <v>1149</v>
      </c>
      <c r="H693" s="38" t="s">
        <v>1253</v>
      </c>
      <c r="I693" s="36" t="s">
        <v>304</v>
      </c>
      <c r="J693" s="39" t="s">
        <v>1254</v>
      </c>
      <c r="K693" s="36" t="s">
        <v>1255</v>
      </c>
      <c r="L693" s="40">
        <v>1710</v>
      </c>
      <c r="M693" s="40">
        <v>4580</v>
      </c>
      <c r="N693" s="41">
        <v>44425</v>
      </c>
      <c r="O693" s="45"/>
      <c r="P693" s="45"/>
      <c r="Q693" s="176" t="e">
        <f>MONTH([1]!Tableau13[[#This Row],[Date début]])</f>
        <v>#REF!</v>
      </c>
      <c r="R693" s="180" t="e">
        <f>YEAR([1]!Tableau13[[#This Row],[Date début]])</f>
        <v>#REF!</v>
      </c>
      <c r="S693" s="44"/>
      <c r="T693" s="44"/>
    </row>
    <row r="694" spans="1:20" s="75" customFormat="1" ht="60" customHeight="1">
      <c r="A694" s="35">
        <v>44421</v>
      </c>
      <c r="B694" s="36">
        <v>480</v>
      </c>
      <c r="C694" s="37" t="str">
        <f>IF(ISNA(VLOOKUP(Tableau13[[#This Row],[Code]],'Code Véhicule'!$A$4:$C$185,2,0)),"",VLOOKUP(Tableau13[[#This Row],[Code]],'Code Véhicule'!$A$4:$C$185,2,0))</f>
        <v>Camion</v>
      </c>
      <c r="D694" s="38" t="str">
        <f>IF(ISNA(VLOOKUP(Tableau13[[#This Row],[Code]],'Code Véhicule'!$A$4:$C$185,3,0)),"",VLOOKUP(Tableau13[[#This Row],[Code]],'Code Véhicule'!$A$4:$C$185,3,0))</f>
        <v>VOLVO</v>
      </c>
      <c r="E694" s="36" t="str">
        <f>IF(ISNA(VLOOKUP(Tableau13[[#This Row],[Code]],'Code Véhicule'!$A$4:$D$185,4,0))," ",VLOOKUP(Tableau13[[#This Row],[Code]],'Code Véhicule'!$A$4:$D$185,4,0))</f>
        <v>22299-A-73</v>
      </c>
      <c r="F694" s="36">
        <v>25645</v>
      </c>
      <c r="G694" s="38" t="s">
        <v>1277</v>
      </c>
      <c r="H694" s="38" t="s">
        <v>995</v>
      </c>
      <c r="I694" s="36" t="s">
        <v>304</v>
      </c>
      <c r="J694" s="39" t="s">
        <v>1278</v>
      </c>
      <c r="K694" s="36" t="s">
        <v>1279</v>
      </c>
      <c r="L694" s="40">
        <v>1140</v>
      </c>
      <c r="M694" s="40">
        <v>1140</v>
      </c>
      <c r="N694" s="41">
        <v>44422</v>
      </c>
      <c r="O694" s="45"/>
      <c r="P694" s="45"/>
      <c r="Q694" s="176" t="e">
        <f>MONTH([1]!Tableau13[[#This Row],[Date début]])</f>
        <v>#REF!</v>
      </c>
      <c r="R694" s="180" t="e">
        <f>YEAR([1]!Tableau13[[#This Row],[Date début]])</f>
        <v>#REF!</v>
      </c>
      <c r="S694" s="44"/>
      <c r="T694" s="44"/>
    </row>
    <row r="695" spans="1:20" s="75" customFormat="1" ht="75" customHeight="1">
      <c r="A695" s="35">
        <v>44424</v>
      </c>
      <c r="B695" s="36">
        <v>436</v>
      </c>
      <c r="C695" s="37" t="str">
        <f>IF(ISNA(VLOOKUP(Tableau13[[#This Row],[Code]],'Code Véhicule'!$A$4:$C$185,2,0)),"",VLOOKUP(Tableau13[[#This Row],[Code]],'Code Véhicule'!$A$4:$C$185,2,0))</f>
        <v>Camion</v>
      </c>
      <c r="D695" s="38" t="str">
        <f>IF(ISNA(VLOOKUP(Tableau13[[#This Row],[Code]],'Code Véhicule'!$A$4:$C$185,3,0)),"",VLOOKUP(Tableau13[[#This Row],[Code]],'Code Véhicule'!$A$4:$C$185,3,0))</f>
        <v>Mitsubishi</v>
      </c>
      <c r="E695" s="36" t="str">
        <f>IF(ISNA(VLOOKUP(Tableau13[[#This Row],[Code]],'Code Véhicule'!$A$4:$D$185,4,0))," ",VLOOKUP(Tableau13[[#This Row],[Code]],'Code Véhicule'!$A$4:$D$185,4,0))</f>
        <v>11470-A-73</v>
      </c>
      <c r="F695" s="36">
        <v>25637</v>
      </c>
      <c r="G695" s="38" t="s">
        <v>525</v>
      </c>
      <c r="H695" s="38" t="s">
        <v>560</v>
      </c>
      <c r="I695" s="36" t="s">
        <v>304</v>
      </c>
      <c r="J695" s="39" t="s">
        <v>1267</v>
      </c>
      <c r="K695" s="36" t="s">
        <v>1268</v>
      </c>
      <c r="L695" s="40">
        <v>120</v>
      </c>
      <c r="M695" s="40">
        <v>120</v>
      </c>
      <c r="N695" s="99"/>
      <c r="O695" s="45">
        <f>732-642</f>
        <v>90</v>
      </c>
      <c r="P695" s="45"/>
      <c r="Q695" s="176" t="e">
        <f>MONTH([1]!Tableau13[[#This Row],[Date début]])</f>
        <v>#REF!</v>
      </c>
      <c r="R695" s="180" t="e">
        <f>YEAR([1]!Tableau13[[#This Row],[Date début]])</f>
        <v>#REF!</v>
      </c>
      <c r="S695" s="44"/>
      <c r="T695" s="44"/>
    </row>
    <row r="696" spans="1:20" s="75" customFormat="1" ht="30" customHeight="1">
      <c r="A696" s="35">
        <v>44431</v>
      </c>
      <c r="B696" s="36">
        <v>438</v>
      </c>
      <c r="C696" s="37" t="str">
        <f>IF(ISNA(VLOOKUP(Tableau13[[#This Row],[Code]],'Code Véhicule'!$A$4:$C$185,2,0)),"",VLOOKUP(Tableau13[[#This Row],[Code]],'Code Véhicule'!$A$4:$C$185,2,0))</f>
        <v>Semi remorque</v>
      </c>
      <c r="D696" s="38" t="str">
        <f>IF(ISNA(VLOOKUP(Tableau13[[#This Row],[Code]],'Code Véhicule'!$A$4:$C$185,3,0)),"",VLOOKUP(Tableau13[[#This Row],[Code]],'Code Véhicule'!$A$4:$C$185,3,0))</f>
        <v>VOLVO</v>
      </c>
      <c r="E696" s="36" t="str">
        <f>IF(ISNA(VLOOKUP(Tableau13[[#This Row],[Code]],'Code Véhicule'!$A$4:$D$185,4,0))," ",VLOOKUP(Tableau13[[#This Row],[Code]],'Code Véhicule'!$A$4:$D$185,4,0))</f>
        <v xml:space="preserve">17885-A-73 </v>
      </c>
      <c r="F696" s="36">
        <v>25646</v>
      </c>
      <c r="G696" s="38" t="s">
        <v>393</v>
      </c>
      <c r="H696" s="38" t="s">
        <v>608</v>
      </c>
      <c r="I696" s="36" t="s">
        <v>304</v>
      </c>
      <c r="J696" s="39" t="s">
        <v>1280</v>
      </c>
      <c r="K696" s="36">
        <v>167258</v>
      </c>
      <c r="L696" s="40">
        <v>120</v>
      </c>
      <c r="M696" s="40">
        <v>120</v>
      </c>
      <c r="N696" s="99"/>
      <c r="O696" s="45"/>
      <c r="P696" s="45"/>
      <c r="Q696" s="176" t="e">
        <f>MONTH([1]!Tableau13[[#This Row],[Date début]])</f>
        <v>#REF!</v>
      </c>
      <c r="R696" s="180" t="e">
        <f>YEAR([1]!Tableau13[[#This Row],[Date début]])</f>
        <v>#REF!</v>
      </c>
      <c r="S696" s="44"/>
      <c r="T696" s="44"/>
    </row>
    <row r="697" spans="1:20" s="75" customFormat="1" ht="30" customHeight="1">
      <c r="A697" s="35">
        <v>44435</v>
      </c>
      <c r="B697" s="36">
        <v>439</v>
      </c>
      <c r="C697" s="37" t="str">
        <f>IF(ISNA(VLOOKUP(Tableau13[[#This Row],[Code]],'Code Véhicule'!$A$4:$C$185,2,0)),"",VLOOKUP(Tableau13[[#This Row],[Code]],'Code Véhicule'!$A$4:$C$185,2,0))</f>
        <v>Semi remorque</v>
      </c>
      <c r="D697" s="38" t="str">
        <f>IF(ISNA(VLOOKUP(Tableau13[[#This Row],[Code]],'Code Véhicule'!$A$4:$C$185,3,0)),"",VLOOKUP(Tableau13[[#This Row],[Code]],'Code Véhicule'!$A$4:$C$185,3,0))</f>
        <v>VOLVO</v>
      </c>
      <c r="E697" s="36" t="str">
        <f>IF(ISNA(VLOOKUP(Tableau13[[#This Row],[Code]],'Code Véhicule'!$A$4:$D$185,4,0))," ",VLOOKUP(Tableau13[[#This Row],[Code]],'Code Véhicule'!$A$4:$D$185,4,0))</f>
        <v xml:space="preserve">17886-A-73 </v>
      </c>
      <c r="F697" s="36">
        <v>25647</v>
      </c>
      <c r="G697" s="38" t="s">
        <v>1281</v>
      </c>
      <c r="H697" s="38" t="s">
        <v>844</v>
      </c>
      <c r="I697" s="36" t="s">
        <v>304</v>
      </c>
      <c r="J697" s="39" t="s">
        <v>1282</v>
      </c>
      <c r="K697" s="36">
        <v>168274</v>
      </c>
      <c r="L697" s="40">
        <v>1140</v>
      </c>
      <c r="M697" s="40">
        <v>1140</v>
      </c>
      <c r="N697" s="99"/>
      <c r="O697" s="45"/>
      <c r="P697" s="45"/>
      <c r="Q697" s="176" t="e">
        <f>MONTH([1]!Tableau13[[#This Row],[Date début]])</f>
        <v>#REF!</v>
      </c>
      <c r="R697" s="180" t="e">
        <f>YEAR([1]!Tableau13[[#This Row],[Date début]])</f>
        <v>#REF!</v>
      </c>
      <c r="S697" s="44"/>
      <c r="T697" s="44"/>
    </row>
    <row r="698" spans="1:20" s="75" customFormat="1" ht="23.25" customHeight="1">
      <c r="A698" s="35">
        <v>44439</v>
      </c>
      <c r="B698" s="36">
        <v>436</v>
      </c>
      <c r="C698" s="37" t="str">
        <f>IF(ISNA(VLOOKUP(Tableau13[[#This Row],[Code]],'Code Véhicule'!$A$4:$C$185,2,0)),"",VLOOKUP(Tableau13[[#This Row],[Code]],'Code Véhicule'!$A$4:$C$185,2,0))</f>
        <v>Camion</v>
      </c>
      <c r="D698" s="38" t="str">
        <f>IF(ISNA(VLOOKUP(Tableau13[[#This Row],[Code]],'Code Véhicule'!$A$4:$C$185,3,0)),"",VLOOKUP(Tableau13[[#This Row],[Code]],'Code Véhicule'!$A$4:$C$185,3,0))</f>
        <v>Mitsubishi</v>
      </c>
      <c r="E698" s="36" t="str">
        <f>IF(ISNA(VLOOKUP(Tableau13[[#This Row],[Code]],'Code Véhicule'!$A$4:$D$185,4,0))," ",VLOOKUP(Tableau13[[#This Row],[Code]],'Code Véhicule'!$A$4:$D$185,4,0))</f>
        <v>11470-A-73</v>
      </c>
      <c r="F698" s="36">
        <v>25648</v>
      </c>
      <c r="G698" s="38" t="s">
        <v>353</v>
      </c>
      <c r="H698" s="38" t="s">
        <v>1034</v>
      </c>
      <c r="I698" s="36" t="s">
        <v>304</v>
      </c>
      <c r="J698" s="39" t="s">
        <v>1283</v>
      </c>
      <c r="K698" s="36">
        <v>168287</v>
      </c>
      <c r="L698" s="40">
        <v>120</v>
      </c>
      <c r="M698" s="40">
        <v>120</v>
      </c>
      <c r="N698" s="41">
        <v>44439</v>
      </c>
      <c r="O698" s="45"/>
      <c r="P698" s="45"/>
      <c r="Q698" s="176" t="e">
        <f>MONTH([1]!Tableau13[[#This Row],[Date début]])</f>
        <v>#REF!</v>
      </c>
      <c r="R698" s="180" t="e">
        <f>YEAR([1]!Tableau13[[#This Row],[Date début]])</f>
        <v>#REF!</v>
      </c>
      <c r="S698" s="44"/>
      <c r="T698" s="44"/>
    </row>
    <row r="699" spans="1:20" s="75" customFormat="1" ht="23.25" customHeight="1">
      <c r="A699" s="35">
        <v>44439</v>
      </c>
      <c r="B699" s="36">
        <v>411</v>
      </c>
      <c r="C699" s="37" t="str">
        <f>IF(ISNA(VLOOKUP(Tableau13[[#This Row],[Code]],'Code Véhicule'!$A$4:$C$185,2,0)),"",VLOOKUP(Tableau13[[#This Row],[Code]],'Code Véhicule'!$A$4:$C$185,2,0))</f>
        <v>Camion</v>
      </c>
      <c r="D699" s="38" t="str">
        <f>IF(ISNA(VLOOKUP(Tableau13[[#This Row],[Code]],'Code Véhicule'!$A$4:$C$185,3,0)),"",VLOOKUP(Tableau13[[#This Row],[Code]],'Code Véhicule'!$A$4:$C$185,3,0))</f>
        <v>Renault</v>
      </c>
      <c r="E699" s="36" t="str">
        <f>IF(ISNA(VLOOKUP(Tableau13[[#This Row],[Code]],'Code Véhicule'!$A$4:$D$185,4,0))," ",VLOOKUP(Tableau13[[#This Row],[Code]],'Code Véhicule'!$A$4:$D$185,4,0))</f>
        <v>25636-A-13</v>
      </c>
      <c r="F699" s="36">
        <v>25651</v>
      </c>
      <c r="G699" s="38" t="s">
        <v>1285</v>
      </c>
      <c r="H699" s="38" t="s">
        <v>1031</v>
      </c>
      <c r="I699" s="36" t="s">
        <v>304</v>
      </c>
      <c r="J699" s="39" t="s">
        <v>1286</v>
      </c>
      <c r="K699" s="36">
        <v>168702</v>
      </c>
      <c r="L699" s="40">
        <v>1710</v>
      </c>
      <c r="M699" s="40">
        <v>1710</v>
      </c>
      <c r="N699" s="41">
        <v>44441</v>
      </c>
      <c r="O699" s="45"/>
      <c r="P699" s="45"/>
      <c r="Q699" s="176" t="e">
        <f>MONTH([1]!Tableau13[[#This Row],[Date début]])</f>
        <v>#REF!</v>
      </c>
      <c r="R699" s="180" t="e">
        <f>YEAR([1]!Tableau13[[#This Row],[Date début]])</f>
        <v>#REF!</v>
      </c>
      <c r="S699" s="44"/>
      <c r="T699" s="44"/>
    </row>
    <row r="700" spans="1:20" s="75" customFormat="1" ht="30" customHeight="1">
      <c r="A700" s="35">
        <v>44440</v>
      </c>
      <c r="B700" s="36">
        <v>433</v>
      </c>
      <c r="C700" s="37" t="str">
        <f>IF(ISNA(VLOOKUP(Tableau13[[#This Row],[Code]],'Code Véhicule'!$A$4:$C$185,2,0)),"",VLOOKUP(Tableau13[[#This Row],[Code]],'Code Véhicule'!$A$4:$C$185,2,0))</f>
        <v>Voiture de fonction</v>
      </c>
      <c r="D700" s="38" t="str">
        <f>IF(ISNA(VLOOKUP(Tableau13[[#This Row],[Code]],'Code Véhicule'!$A$4:$C$185,3,0)),"",VLOOKUP(Tableau13[[#This Row],[Code]],'Code Véhicule'!$A$4:$C$185,3,0))</f>
        <v>Berlingo</v>
      </c>
      <c r="E700" s="36" t="str">
        <f>IF(ISNA(VLOOKUP(Tableau13[[#This Row],[Code]],'Code Véhicule'!$A$4:$D$185,4,0))," ",VLOOKUP(Tableau13[[#This Row],[Code]],'Code Véhicule'!$A$4:$D$185,4,0))</f>
        <v>10551-A-73</v>
      </c>
      <c r="F700" s="36">
        <v>25649</v>
      </c>
      <c r="G700" s="38" t="s">
        <v>393</v>
      </c>
      <c r="H700" s="38" t="s">
        <v>608</v>
      </c>
      <c r="I700" s="36" t="s">
        <v>304</v>
      </c>
      <c r="J700" s="39" t="s">
        <v>1284</v>
      </c>
      <c r="K700" s="36">
        <v>168289</v>
      </c>
      <c r="L700" s="40">
        <v>120</v>
      </c>
      <c r="M700" s="40">
        <v>120</v>
      </c>
      <c r="N700" s="41">
        <v>44440</v>
      </c>
      <c r="O700" s="45"/>
      <c r="P700" s="45"/>
      <c r="Q700" s="176" t="e">
        <f>MONTH([1]!Tableau13[[#This Row],[Date début]])</f>
        <v>#REF!</v>
      </c>
      <c r="R700" s="180" t="e">
        <f>YEAR([1]!Tableau13[[#This Row],[Date début]])</f>
        <v>#REF!</v>
      </c>
      <c r="S700" s="44"/>
      <c r="T700" s="44"/>
    </row>
    <row r="701" spans="1:20" s="75" customFormat="1" ht="45">
      <c r="A701" s="35">
        <v>44440</v>
      </c>
      <c r="B701" s="36">
        <v>471</v>
      </c>
      <c r="C701" s="37" t="str">
        <f>IF(ISNA(VLOOKUP(Tableau13[[#This Row],[Code]],'Code Véhicule'!$A$4:$C$185,2,0)),"",VLOOKUP(Tableau13[[#This Row],[Code]],'Code Véhicule'!$A$4:$C$185,2,0))</f>
        <v>Bus de transport</v>
      </c>
      <c r="D701" s="38" t="str">
        <f>IF(ISNA(VLOOKUP(Tableau13[[#This Row],[Code]],'Code Véhicule'!$A$4:$C$185,3,0)),"",VLOOKUP(Tableau13[[#This Row],[Code]],'Code Véhicule'!$A$4:$C$185,3,0))</f>
        <v xml:space="preserve">Hyundai County </v>
      </c>
      <c r="E701" s="36" t="str">
        <f>IF(ISNA(VLOOKUP(Tableau13[[#This Row],[Code]],'Code Véhicule'!$A$4:$D$185,4,0))," ",VLOOKUP(Tableau13[[#This Row],[Code]],'Code Véhicule'!$A$4:$D$185,4,0))</f>
        <v>18516-A-73</v>
      </c>
      <c r="F701" s="36">
        <v>25652</v>
      </c>
      <c r="G701" s="38" t="s">
        <v>393</v>
      </c>
      <c r="H701" s="38" t="s">
        <v>608</v>
      </c>
      <c r="I701" s="36" t="s">
        <v>302</v>
      </c>
      <c r="J701" s="39" t="s">
        <v>1287</v>
      </c>
      <c r="K701" s="36">
        <v>168703</v>
      </c>
      <c r="L701" s="40">
        <v>60</v>
      </c>
      <c r="M701" s="40">
        <v>60</v>
      </c>
      <c r="N701" s="41">
        <v>44440</v>
      </c>
      <c r="O701" s="45"/>
      <c r="P701" s="45"/>
      <c r="Q701" s="176" t="e">
        <f>MONTH([1]!Tableau13[[#This Row],[Date début]])</f>
        <v>#REF!</v>
      </c>
      <c r="R701" s="180" t="e">
        <f>YEAR([1]!Tableau13[[#This Row],[Date début]])</f>
        <v>#REF!</v>
      </c>
      <c r="S701" s="44"/>
      <c r="T701" s="44"/>
    </row>
    <row r="702" spans="1:20" s="75" customFormat="1" ht="75" customHeight="1">
      <c r="A702" s="35">
        <v>44441</v>
      </c>
      <c r="B702" s="36">
        <v>403</v>
      </c>
      <c r="C702" s="37" t="str">
        <f>IF(ISNA(VLOOKUP(Tableau13[[#This Row],[Code]],'Code Véhicule'!$A$4:$C$185,2,0)),"",VLOOKUP(Tableau13[[#This Row],[Code]],'Code Véhicule'!$A$4:$C$185,2,0))</f>
        <v>Camion</v>
      </c>
      <c r="D702" s="38" t="str">
        <f>IF(ISNA(VLOOKUP(Tableau13[[#This Row],[Code]],'Code Véhicule'!$A$4:$C$185,3,0)),"",VLOOKUP(Tableau13[[#This Row],[Code]],'Code Véhicule'!$A$4:$C$185,3,0))</f>
        <v>MAN</v>
      </c>
      <c r="E702" s="36" t="str">
        <f>IF(ISNA(VLOOKUP(Tableau13[[#This Row],[Code]],'Code Véhicule'!$A$4:$D$185,4,0))," ",VLOOKUP(Tableau13[[#This Row],[Code]],'Code Véhicule'!$A$4:$D$185,4,0))</f>
        <v>4790-B-8</v>
      </c>
      <c r="F702" s="36">
        <v>25653</v>
      </c>
      <c r="G702" s="38" t="s">
        <v>537</v>
      </c>
      <c r="H702" s="38" t="s">
        <v>1288</v>
      </c>
      <c r="I702" s="36" t="s">
        <v>304</v>
      </c>
      <c r="J702" s="39" t="s">
        <v>1289</v>
      </c>
      <c r="K702" s="36">
        <v>168704</v>
      </c>
      <c r="L702" s="40">
        <v>120</v>
      </c>
      <c r="M702" s="40">
        <v>120</v>
      </c>
      <c r="N702" s="41">
        <v>44441</v>
      </c>
      <c r="O702" s="45"/>
      <c r="P702" s="45"/>
      <c r="Q702" s="176" t="e">
        <f>MONTH([1]!Tableau13[[#This Row],[Date début]])</f>
        <v>#REF!</v>
      </c>
      <c r="R702" s="180" t="e">
        <f>YEAR([1]!Tableau13[[#This Row],[Date début]])</f>
        <v>#REF!</v>
      </c>
      <c r="S702" s="44"/>
      <c r="T702" s="44"/>
    </row>
    <row r="703" spans="1:20" s="75" customFormat="1" ht="45" customHeight="1">
      <c r="A703" s="35">
        <v>44442</v>
      </c>
      <c r="B703" s="36">
        <v>481</v>
      </c>
      <c r="C703" s="37" t="str">
        <f>IF(ISNA(VLOOKUP(Tableau13[[#This Row],[Code]],'Code Véhicule'!$A$4:$C$185,2,0)),"",VLOOKUP(Tableau13[[#This Row],[Code]],'Code Véhicule'!$A$4:$C$185,2,0))</f>
        <v>Camion</v>
      </c>
      <c r="D703" s="38" t="str">
        <f>IF(ISNA(VLOOKUP(Tableau13[[#This Row],[Code]],'Code Véhicule'!$A$4:$C$185,3,0)),"",VLOOKUP(Tableau13[[#This Row],[Code]],'Code Véhicule'!$A$4:$C$185,3,0))</f>
        <v>VOLVO</v>
      </c>
      <c r="E703" s="36" t="str">
        <f>IF(ISNA(VLOOKUP(Tableau13[[#This Row],[Code]],'Code Véhicule'!$A$4:$D$185,4,0))," ",VLOOKUP(Tableau13[[#This Row],[Code]],'Code Véhicule'!$A$4:$D$185,4,0))</f>
        <v>22300-A-73</v>
      </c>
      <c r="F703" s="36">
        <v>25654</v>
      </c>
      <c r="G703" s="38" t="s">
        <v>393</v>
      </c>
      <c r="H703" s="38" t="s">
        <v>608</v>
      </c>
      <c r="I703" s="36" t="s">
        <v>302</v>
      </c>
      <c r="J703" s="39" t="s">
        <v>1290</v>
      </c>
      <c r="K703" s="36">
        <v>168705</v>
      </c>
      <c r="L703" s="40">
        <v>120</v>
      </c>
      <c r="M703" s="40">
        <v>120</v>
      </c>
      <c r="N703" s="41">
        <v>44442</v>
      </c>
      <c r="O703" s="45"/>
      <c r="P703" s="45"/>
      <c r="Q703" s="176" t="e">
        <f>MONTH([1]!Tableau13[[#This Row],[Date début]])</f>
        <v>#REF!</v>
      </c>
      <c r="R703" s="180" t="e">
        <f>YEAR([1]!Tableau13[[#This Row],[Date début]])</f>
        <v>#REF!</v>
      </c>
      <c r="S703" s="44"/>
      <c r="T703" s="44"/>
    </row>
    <row r="704" spans="1:20" s="75" customFormat="1" ht="105" customHeight="1">
      <c r="A704" s="35">
        <v>44442</v>
      </c>
      <c r="B704" s="36">
        <v>406</v>
      </c>
      <c r="C704" s="37" t="str">
        <f>IF(ISNA(VLOOKUP(Tableau13[[#This Row],[Code]],'Code Véhicule'!$A$4:$C$185,2,0)),"",VLOOKUP(Tableau13[[#This Row],[Code]],'Code Véhicule'!$A$4:$C$185,2,0))</f>
        <v>Semi remorque</v>
      </c>
      <c r="D704" s="38" t="str">
        <f>IF(ISNA(VLOOKUP(Tableau13[[#This Row],[Code]],'Code Véhicule'!$A$4:$C$185,3,0)),"",VLOOKUP(Tableau13[[#This Row],[Code]],'Code Véhicule'!$A$4:$C$185,3,0))</f>
        <v>VOLVO</v>
      </c>
      <c r="E704" s="36" t="str">
        <f>IF(ISNA(VLOOKUP(Tableau13[[#This Row],[Code]],'Code Véhicule'!$A$4:$D$185,4,0))," ",VLOOKUP(Tableau13[[#This Row],[Code]],'Code Véhicule'!$A$4:$D$185,4,0))</f>
        <v>70352-A-6</v>
      </c>
      <c r="F704" s="36">
        <v>25663</v>
      </c>
      <c r="G704" s="38" t="s">
        <v>537</v>
      </c>
      <c r="H704" s="38" t="s">
        <v>1288</v>
      </c>
      <c r="I704" s="36" t="s">
        <v>304</v>
      </c>
      <c r="J704" s="39" t="s">
        <v>1301</v>
      </c>
      <c r="K704" s="36" t="s">
        <v>1302</v>
      </c>
      <c r="L704" s="40">
        <v>1710</v>
      </c>
      <c r="M704" s="40">
        <v>4560</v>
      </c>
      <c r="N704" s="41">
        <v>44451</v>
      </c>
      <c r="O704" s="45"/>
      <c r="P704" s="45"/>
      <c r="Q704" s="176" t="e">
        <f>MONTH([1]!Tableau13[[#This Row],[Date début]])</f>
        <v>#REF!</v>
      </c>
      <c r="R704" s="180" t="e">
        <f>YEAR([1]!Tableau13[[#This Row],[Date début]])</f>
        <v>#REF!</v>
      </c>
      <c r="S704" s="44"/>
      <c r="T704" s="44"/>
    </row>
    <row r="705" spans="1:20" s="75" customFormat="1" ht="30" customHeight="1">
      <c r="A705" s="35">
        <v>44443</v>
      </c>
      <c r="B705" s="36">
        <v>419</v>
      </c>
      <c r="C705" s="37" t="str">
        <f>IF(ISNA(VLOOKUP(Tableau13[[#This Row],[Code]],'Code Véhicule'!$A$4:$C$185,2,0)),"",VLOOKUP(Tableau13[[#This Row],[Code]],'Code Véhicule'!$A$4:$C$185,2,0))</f>
        <v>Voiture de fonction</v>
      </c>
      <c r="D705" s="38" t="str">
        <f>IF(ISNA(VLOOKUP(Tableau13[[#This Row],[Code]],'Code Véhicule'!$A$4:$C$185,3,0)),"",VLOOKUP(Tableau13[[#This Row],[Code]],'Code Véhicule'!$A$4:$C$185,3,0))</f>
        <v>kangoo</v>
      </c>
      <c r="E705" s="36" t="str">
        <f>IF(ISNA(VLOOKUP(Tableau13[[#This Row],[Code]],'Code Véhicule'!$A$4:$D$185,4,0))," ",VLOOKUP(Tableau13[[#This Row],[Code]],'Code Véhicule'!$A$4:$D$185,4,0))</f>
        <v>4812-A-73</v>
      </c>
      <c r="F705" s="36">
        <v>25655</v>
      </c>
      <c r="G705" s="38" t="s">
        <v>1291</v>
      </c>
      <c r="H705" s="38" t="s">
        <v>1292</v>
      </c>
      <c r="I705" s="36" t="s">
        <v>304</v>
      </c>
      <c r="J705" s="39" t="s">
        <v>1293</v>
      </c>
      <c r="K705" s="36">
        <v>168711</v>
      </c>
      <c r="L705" s="40">
        <v>120</v>
      </c>
      <c r="M705" s="40">
        <v>120</v>
      </c>
      <c r="N705" s="41">
        <v>44443</v>
      </c>
      <c r="O705" s="45"/>
      <c r="P705" s="45"/>
      <c r="Q705" s="176" t="e">
        <f>MONTH([1]!Tableau13[[#This Row],[Date début]])</f>
        <v>#REF!</v>
      </c>
      <c r="R705" s="180" t="e">
        <f>YEAR([1]!Tableau13[[#This Row],[Date début]])</f>
        <v>#REF!</v>
      </c>
      <c r="S705" s="44"/>
      <c r="T705" s="44"/>
    </row>
    <row r="706" spans="1:20" s="75" customFormat="1" ht="60" customHeight="1">
      <c r="A706" s="35">
        <v>44445</v>
      </c>
      <c r="B706" s="36">
        <v>429</v>
      </c>
      <c r="C706" s="37" t="str">
        <f>IF(ISNA(VLOOKUP(Tableau13[[#This Row],[Code]],'Code Véhicule'!$A$4:$C$185,2,0)),"",VLOOKUP(Tableau13[[#This Row],[Code]],'Code Véhicule'!$A$4:$C$185,2,0))</f>
        <v>Chariot elevateur</v>
      </c>
      <c r="D706" s="38" t="str">
        <f>IF(ISNA(VLOOKUP(Tableau13[[#This Row],[Code]],'Code Véhicule'!$A$4:$C$185,3,0)),"",VLOOKUP(Tableau13[[#This Row],[Code]],'Code Véhicule'!$A$4:$C$185,3,0))</f>
        <v>Fenwick HD30</v>
      </c>
      <c r="E706" s="36" t="str">
        <f>IF(ISNA(VLOOKUP(Tableau13[[#This Row],[Code]],'Code Véhicule'!$A$4:$D$185,4,0))," ",VLOOKUP(Tableau13[[#This Row],[Code]],'Code Véhicule'!$A$4:$D$185,4,0))</f>
        <v>-</v>
      </c>
      <c r="F706" s="36">
        <v>25656</v>
      </c>
      <c r="G706" s="38" t="s">
        <v>393</v>
      </c>
      <c r="H706" s="38" t="s">
        <v>608</v>
      </c>
      <c r="I706" s="36" t="s">
        <v>504</v>
      </c>
      <c r="J706" s="39" t="s">
        <v>1294</v>
      </c>
      <c r="K706" s="36">
        <v>168714</v>
      </c>
      <c r="L706" s="40">
        <v>570</v>
      </c>
      <c r="M706" s="40">
        <v>570</v>
      </c>
      <c r="N706" s="41">
        <v>44445</v>
      </c>
      <c r="O706" s="45"/>
      <c r="P706" s="45"/>
      <c r="Q706" s="176" t="e">
        <f>MONTH([1]!Tableau13[[#This Row],[Date début]])</f>
        <v>#REF!</v>
      </c>
      <c r="R706" s="180" t="e">
        <f>YEAR([1]!Tableau13[[#This Row],[Date début]])</f>
        <v>#REF!</v>
      </c>
      <c r="S706" s="44"/>
      <c r="T706" s="44"/>
    </row>
    <row r="707" spans="1:20" s="75" customFormat="1" ht="23.25" customHeight="1">
      <c r="A707" s="35">
        <v>44445</v>
      </c>
      <c r="B707" s="36">
        <v>410</v>
      </c>
      <c r="C707" s="37" t="str">
        <f>IF(ISNA(VLOOKUP(Tableau13[[#This Row],[Code]],'Code Véhicule'!$A$4:$C$185,2,0)),"",VLOOKUP(Tableau13[[#This Row],[Code]],'Code Véhicule'!$A$4:$C$185,2,0))</f>
        <v>Semi remorque</v>
      </c>
      <c r="D707" s="38" t="str">
        <f>IF(ISNA(VLOOKUP(Tableau13[[#This Row],[Code]],'Code Véhicule'!$A$4:$C$185,3,0)),"",VLOOKUP(Tableau13[[#This Row],[Code]],'Code Véhicule'!$A$4:$C$185,3,0))</f>
        <v>MAN</v>
      </c>
      <c r="E707" s="36" t="str">
        <f>IF(ISNA(VLOOKUP(Tableau13[[#This Row],[Code]],'Code Véhicule'!$A$4:$D$185,4,0))," ",VLOOKUP(Tableau13[[#This Row],[Code]],'Code Véhicule'!$A$4:$D$185,4,0))</f>
        <v xml:space="preserve">28659-D-1 </v>
      </c>
      <c r="F707" s="36">
        <v>25657</v>
      </c>
      <c r="G707" s="38" t="s">
        <v>560</v>
      </c>
      <c r="H707" s="38" t="s">
        <v>604</v>
      </c>
      <c r="I707" s="36" t="s">
        <v>304</v>
      </c>
      <c r="J707" s="39" t="s">
        <v>1295</v>
      </c>
      <c r="K707" s="36">
        <v>168720</v>
      </c>
      <c r="L707" s="40">
        <v>120</v>
      </c>
      <c r="M707" s="40">
        <v>120</v>
      </c>
      <c r="N707" s="41">
        <v>44445</v>
      </c>
      <c r="O707" s="45"/>
      <c r="P707" s="45"/>
      <c r="Q707" s="176" t="e">
        <f>MONTH([1]!Tableau13[[#This Row],[Date début]])</f>
        <v>#REF!</v>
      </c>
      <c r="R707" s="180" t="e">
        <f>YEAR([1]!Tableau13[[#This Row],[Date début]])</f>
        <v>#REF!</v>
      </c>
      <c r="S707" s="44"/>
      <c r="T707" s="44"/>
    </row>
    <row r="708" spans="1:20" s="75" customFormat="1" ht="135" customHeight="1">
      <c r="A708" s="35">
        <v>44447</v>
      </c>
      <c r="B708" s="36">
        <v>408</v>
      </c>
      <c r="C708" s="37" t="str">
        <f>IF(ISNA(VLOOKUP(Tableau13[[#This Row],[Code]],'Code Véhicule'!$A$4:$C$185,2,0)),"",VLOOKUP(Tableau13[[#This Row],[Code]],'Code Véhicule'!$A$4:$C$185,2,0))</f>
        <v>Camion</v>
      </c>
      <c r="D708" s="38" t="str">
        <f>IF(ISNA(VLOOKUP(Tableau13[[#This Row],[Code]],'Code Véhicule'!$A$4:$C$185,3,0)),"",VLOOKUP(Tableau13[[#This Row],[Code]],'Code Véhicule'!$A$4:$C$185,3,0))</f>
        <v>Mitsubishi</v>
      </c>
      <c r="E708" s="36" t="str">
        <f>IF(ISNA(VLOOKUP(Tableau13[[#This Row],[Code]],'Code Véhicule'!$A$4:$D$185,4,0))," ",VLOOKUP(Tableau13[[#This Row],[Code]],'Code Véhicule'!$A$4:$D$185,4,0))</f>
        <v>4703-A-73</v>
      </c>
      <c r="F708" s="36">
        <v>25658</v>
      </c>
      <c r="G708" s="38" t="s">
        <v>610</v>
      </c>
      <c r="H708" s="38" t="s">
        <v>1296</v>
      </c>
      <c r="I708" s="36" t="s">
        <v>304</v>
      </c>
      <c r="J708" s="39" t="s">
        <v>1297</v>
      </c>
      <c r="K708" s="36" t="s">
        <v>1298</v>
      </c>
      <c r="L708" s="40">
        <v>2280</v>
      </c>
      <c r="M708" s="40">
        <v>3420</v>
      </c>
      <c r="N708" s="41">
        <v>44453</v>
      </c>
      <c r="O708" s="45"/>
      <c r="P708" s="45"/>
      <c r="Q708" s="176" t="e">
        <f>MONTH([1]!Tableau13[[#This Row],[Date début]])</f>
        <v>#REF!</v>
      </c>
      <c r="R708" s="180" t="e">
        <f>YEAR([1]!Tableau13[[#This Row],[Date début]])</f>
        <v>#REF!</v>
      </c>
      <c r="S708" s="44"/>
      <c r="T708" s="44"/>
    </row>
    <row r="709" spans="1:20" s="75" customFormat="1" ht="23.25" customHeight="1">
      <c r="A709" s="35">
        <v>44447</v>
      </c>
      <c r="B709" s="36">
        <v>408</v>
      </c>
      <c r="C709" s="37" t="str">
        <f>IF(ISNA(VLOOKUP(Tableau13[[#This Row],[Code]],'Code Véhicule'!$A$4:$C$185,2,0)),"",VLOOKUP(Tableau13[[#This Row],[Code]],'Code Véhicule'!$A$4:$C$185,2,0))</f>
        <v>Camion</v>
      </c>
      <c r="D709" s="38" t="str">
        <f>IF(ISNA(VLOOKUP(Tableau13[[#This Row],[Code]],'Code Véhicule'!$A$4:$C$185,3,0)),"",VLOOKUP(Tableau13[[#This Row],[Code]],'Code Véhicule'!$A$4:$C$185,3,0))</f>
        <v>Mitsubishi</v>
      </c>
      <c r="E709" s="36" t="str">
        <f>IF(ISNA(VLOOKUP(Tableau13[[#This Row],[Code]],'Code Véhicule'!$A$4:$D$185,4,0))," ",VLOOKUP(Tableau13[[#This Row],[Code]],'Code Véhicule'!$A$4:$D$185,4,0))</f>
        <v>4703-A-73</v>
      </c>
      <c r="F709" s="36">
        <v>25660</v>
      </c>
      <c r="G709" s="38" t="s">
        <v>560</v>
      </c>
      <c r="H709" s="38" t="s">
        <v>604</v>
      </c>
      <c r="I709" s="36" t="s">
        <v>304</v>
      </c>
      <c r="J709" s="39" t="s">
        <v>530</v>
      </c>
      <c r="K709" s="36">
        <v>168743</v>
      </c>
      <c r="L709" s="40">
        <v>120</v>
      </c>
      <c r="M709" s="40">
        <v>120</v>
      </c>
      <c r="N709" s="41">
        <v>44453</v>
      </c>
      <c r="O709" s="45"/>
      <c r="P709" s="45"/>
      <c r="Q709" s="176" t="e">
        <f>MONTH([1]!Tableau13[[#This Row],[Date début]])</f>
        <v>#REF!</v>
      </c>
      <c r="R709" s="180" t="e">
        <f>YEAR([1]!Tableau13[[#This Row],[Date début]])</f>
        <v>#REF!</v>
      </c>
      <c r="S709" s="44"/>
      <c r="T709" s="44"/>
    </row>
    <row r="710" spans="1:20" s="75" customFormat="1" ht="23.25" customHeight="1">
      <c r="A710" s="35">
        <v>44448</v>
      </c>
      <c r="B710" s="36">
        <v>438</v>
      </c>
      <c r="C710" s="37" t="str">
        <f>IF(ISNA(VLOOKUP(Tableau13[[#This Row],[Code]],'Code Véhicule'!$A$4:$C$185,2,0)),"",VLOOKUP(Tableau13[[#This Row],[Code]],'Code Véhicule'!$A$4:$C$185,2,0))</f>
        <v>Semi remorque</v>
      </c>
      <c r="D710" s="38" t="str">
        <f>IF(ISNA(VLOOKUP(Tableau13[[#This Row],[Code]],'Code Véhicule'!$A$4:$C$185,3,0)),"",VLOOKUP(Tableau13[[#This Row],[Code]],'Code Véhicule'!$A$4:$C$185,3,0))</f>
        <v>VOLVO</v>
      </c>
      <c r="E710" s="36" t="str">
        <f>IF(ISNA(VLOOKUP(Tableau13[[#This Row],[Code]],'Code Véhicule'!$A$4:$D$185,4,0))," ",VLOOKUP(Tableau13[[#This Row],[Code]],'Code Véhicule'!$A$4:$D$185,4,0))</f>
        <v xml:space="preserve">17885-A-73 </v>
      </c>
      <c r="F710" s="36">
        <v>25665</v>
      </c>
      <c r="G710" s="38" t="s">
        <v>560</v>
      </c>
      <c r="H710" s="38" t="s">
        <v>604</v>
      </c>
      <c r="I710" s="36" t="s">
        <v>304</v>
      </c>
      <c r="J710" s="39" t="s">
        <v>1303</v>
      </c>
      <c r="K710" s="36">
        <v>168727</v>
      </c>
      <c r="L710" s="40">
        <v>180</v>
      </c>
      <c r="M710" s="40">
        <v>180</v>
      </c>
      <c r="N710" s="41">
        <v>44448</v>
      </c>
      <c r="O710" s="45"/>
      <c r="P710" s="45"/>
      <c r="Q710" s="176" t="e">
        <f>MONTH([1]!Tableau13[[#This Row],[Date début]])</f>
        <v>#REF!</v>
      </c>
      <c r="R710" s="180" t="e">
        <f>YEAR([1]!Tableau13[[#This Row],[Date début]])</f>
        <v>#REF!</v>
      </c>
      <c r="S710" s="44"/>
      <c r="T710" s="44"/>
    </row>
    <row r="711" spans="1:20" s="75" customFormat="1" ht="45" customHeight="1">
      <c r="A711" s="35">
        <v>44451</v>
      </c>
      <c r="B711" s="36">
        <v>407</v>
      </c>
      <c r="C711" s="37" t="str">
        <f>IF(ISNA(VLOOKUP(Tableau13[[#This Row],[Code]],'Code Véhicule'!$A$4:$C$185,2,0)),"",VLOOKUP(Tableau13[[#This Row],[Code]],'Code Véhicule'!$A$4:$C$185,2,0))</f>
        <v>Semi remorque</v>
      </c>
      <c r="D711" s="38" t="str">
        <f>IF(ISNA(VLOOKUP(Tableau13[[#This Row],[Code]],'Code Véhicule'!$A$4:$C$185,3,0)),"",VLOOKUP(Tableau13[[#This Row],[Code]],'Code Véhicule'!$A$4:$C$185,3,0))</f>
        <v>MAN</v>
      </c>
      <c r="E711" s="36" t="str">
        <f>IF(ISNA(VLOOKUP(Tableau13[[#This Row],[Code]],'Code Véhicule'!$A$4:$D$185,4,0))," ",VLOOKUP(Tableau13[[#This Row],[Code]],'Code Véhicule'!$A$4:$D$185,4,0))</f>
        <v>706-A-73</v>
      </c>
      <c r="F711" s="36">
        <v>25671</v>
      </c>
      <c r="G711" s="38" t="s">
        <v>984</v>
      </c>
      <c r="H711" s="38" t="s">
        <v>985</v>
      </c>
      <c r="I711" s="36" t="s">
        <v>304</v>
      </c>
      <c r="J711" s="39" t="s">
        <v>1310</v>
      </c>
      <c r="K711" s="36"/>
      <c r="L711" s="40">
        <v>570</v>
      </c>
      <c r="M711" s="40">
        <v>570</v>
      </c>
      <c r="N711" s="41">
        <v>44451</v>
      </c>
      <c r="O711" s="45"/>
      <c r="P711" s="45"/>
      <c r="Q711" s="176" t="e">
        <f>MONTH([1]!Tableau13[[#This Row],[Date début]])</f>
        <v>#REF!</v>
      </c>
      <c r="R711" s="180" t="e">
        <f>YEAR([1]!Tableau13[[#This Row],[Date début]])</f>
        <v>#REF!</v>
      </c>
      <c r="S711" s="44"/>
      <c r="T711" s="44"/>
    </row>
    <row r="712" spans="1:20" s="75" customFormat="1" ht="45" customHeight="1">
      <c r="A712" s="35">
        <v>44452</v>
      </c>
      <c r="B712" s="36">
        <v>435</v>
      </c>
      <c r="C712" s="37" t="str">
        <f>IF(ISNA(VLOOKUP(Tableau13[[#This Row],[Code]],'Code Véhicule'!$A$4:$C$185,2,0)),"",VLOOKUP(Tableau13[[#This Row],[Code]],'Code Véhicule'!$A$4:$C$185,2,0))</f>
        <v>Camion</v>
      </c>
      <c r="D712" s="38" t="str">
        <f>IF(ISNA(VLOOKUP(Tableau13[[#This Row],[Code]],'Code Véhicule'!$A$4:$C$185,3,0)),"",VLOOKUP(Tableau13[[#This Row],[Code]],'Code Véhicule'!$A$4:$C$185,3,0))</f>
        <v>Mitsubishi</v>
      </c>
      <c r="E712" s="36" t="str">
        <f>IF(ISNA(VLOOKUP(Tableau13[[#This Row],[Code]],'Code Véhicule'!$A$4:$D$185,4,0))," ",VLOOKUP(Tableau13[[#This Row],[Code]],'Code Véhicule'!$A$4:$D$185,4,0))</f>
        <v xml:space="preserve"> 11469-A-73</v>
      </c>
      <c r="F712" s="36">
        <v>25659</v>
      </c>
      <c r="G712" s="38" t="s">
        <v>393</v>
      </c>
      <c r="H712" s="38" t="s">
        <v>608</v>
      </c>
      <c r="I712" s="36" t="s">
        <v>304</v>
      </c>
      <c r="J712" s="39" t="s">
        <v>1299</v>
      </c>
      <c r="K712" s="36">
        <v>168742</v>
      </c>
      <c r="L712" s="40">
        <v>60</v>
      </c>
      <c r="M712" s="40">
        <v>60</v>
      </c>
      <c r="N712" s="41">
        <v>44452</v>
      </c>
      <c r="O712" s="45"/>
      <c r="P712" s="45"/>
      <c r="Q712" s="176" t="e">
        <f>MONTH([1]!Tableau13[[#This Row],[Date début]])</f>
        <v>#REF!</v>
      </c>
      <c r="R712" s="180" t="e">
        <f>YEAR([1]!Tableau13[[#This Row],[Date début]])</f>
        <v>#REF!</v>
      </c>
      <c r="S712" s="44"/>
      <c r="T712" s="44"/>
    </row>
    <row r="713" spans="1:20" s="75" customFormat="1" ht="45" customHeight="1">
      <c r="A713" s="35">
        <v>44453</v>
      </c>
      <c r="B713" s="36">
        <v>409</v>
      </c>
      <c r="C713" s="37" t="str">
        <f>IF(ISNA(VLOOKUP(Tableau13[[#This Row],[Code]],'Code Véhicule'!$A$4:$C$185,2,0)),"",VLOOKUP(Tableau13[[#This Row],[Code]],'Code Véhicule'!$A$4:$C$185,2,0))</f>
        <v>Camion</v>
      </c>
      <c r="D713" s="38" t="str">
        <f>IF(ISNA(VLOOKUP(Tableau13[[#This Row],[Code]],'Code Véhicule'!$A$4:$C$185,3,0)),"",VLOOKUP(Tableau13[[#This Row],[Code]],'Code Véhicule'!$A$4:$C$185,3,0))</f>
        <v>Mitsubishi</v>
      </c>
      <c r="E713" s="36" t="str">
        <f>IF(ISNA(VLOOKUP(Tableau13[[#This Row],[Code]],'Code Véhicule'!$A$4:$D$185,4,0))," ",VLOOKUP(Tableau13[[#This Row],[Code]],'Code Véhicule'!$A$4:$D$185,4,0))</f>
        <v xml:space="preserve">4969-A-73 </v>
      </c>
      <c r="F713" s="36">
        <v>25661</v>
      </c>
      <c r="G713" s="38" t="s">
        <v>393</v>
      </c>
      <c r="H713" s="38" t="s">
        <v>608</v>
      </c>
      <c r="I713" s="36" t="s">
        <v>304</v>
      </c>
      <c r="J713" s="39" t="s">
        <v>1300</v>
      </c>
      <c r="K713" s="36">
        <v>169505</v>
      </c>
      <c r="L713" s="40">
        <v>120</v>
      </c>
      <c r="M713" s="40">
        <v>120</v>
      </c>
      <c r="N713" s="41">
        <v>44453</v>
      </c>
      <c r="O713" s="45"/>
      <c r="P713" s="45"/>
      <c r="Q713" s="176" t="e">
        <f>MONTH([1]!Tableau13[[#This Row],[Date début]])</f>
        <v>#REF!</v>
      </c>
      <c r="R713" s="180" t="e">
        <f>YEAR([1]!Tableau13[[#This Row],[Date début]])</f>
        <v>#REF!</v>
      </c>
      <c r="S713" s="44"/>
      <c r="T713" s="44"/>
    </row>
    <row r="714" spans="1:20" s="75" customFormat="1" ht="23.25" customHeight="1">
      <c r="A714" s="35">
        <v>44454</v>
      </c>
      <c r="B714" s="36">
        <v>429</v>
      </c>
      <c r="C714" s="37" t="str">
        <f>IF(ISNA(VLOOKUP(Tableau13[[#This Row],[Code]],'Code Véhicule'!$A$4:$C$185,2,0)),"",VLOOKUP(Tableau13[[#This Row],[Code]],'Code Véhicule'!$A$4:$C$185,2,0))</f>
        <v>Chariot elevateur</v>
      </c>
      <c r="D714" s="38" t="str">
        <f>IF(ISNA(VLOOKUP(Tableau13[[#This Row],[Code]],'Code Véhicule'!$A$4:$C$185,3,0)),"",VLOOKUP(Tableau13[[#This Row],[Code]],'Code Véhicule'!$A$4:$C$185,3,0))</f>
        <v>Fenwick HD30</v>
      </c>
      <c r="E714" s="36" t="str">
        <f>IF(ISNA(VLOOKUP(Tableau13[[#This Row],[Code]],'Code Véhicule'!$A$4:$D$185,4,0))," ",VLOOKUP(Tableau13[[#This Row],[Code]],'Code Véhicule'!$A$4:$D$185,4,0))</f>
        <v>-</v>
      </c>
      <c r="F714" s="36">
        <v>25662</v>
      </c>
      <c r="G714" s="38" t="s">
        <v>393</v>
      </c>
      <c r="H714" s="38" t="s">
        <v>613</v>
      </c>
      <c r="I714" s="36" t="s">
        <v>302</v>
      </c>
      <c r="J714" s="39" t="s">
        <v>521</v>
      </c>
      <c r="K714" s="36">
        <v>169506</v>
      </c>
      <c r="L714" s="40">
        <v>30</v>
      </c>
      <c r="M714" s="40">
        <v>30</v>
      </c>
      <c r="N714" s="41">
        <v>44455</v>
      </c>
      <c r="O714" s="45"/>
      <c r="P714" s="45"/>
      <c r="Q714" s="176" t="e">
        <f>MONTH([1]!Tableau13[[#This Row],[Date début]])</f>
        <v>#REF!</v>
      </c>
      <c r="R714" s="180" t="e">
        <f>YEAR([1]!Tableau13[[#This Row],[Date début]])</f>
        <v>#REF!</v>
      </c>
      <c r="S714" s="44"/>
      <c r="T714" s="44"/>
    </row>
    <row r="715" spans="1:20" s="75" customFormat="1" ht="23.25" customHeight="1">
      <c r="A715" s="35">
        <v>44454</v>
      </c>
      <c r="B715" s="36">
        <v>430</v>
      </c>
      <c r="C715" s="37" t="s">
        <v>1336</v>
      </c>
      <c r="D715" s="38" t="str">
        <f>IF(ISNA(VLOOKUP(Tableau13[[#This Row],[Code]],'Code Véhicule'!$A$4:$C$185,3,0)),"",VLOOKUP(Tableau13[[#This Row],[Code]],'Code Véhicule'!$A$4:$C$185,3,0))</f>
        <v>Fenwick  H40</v>
      </c>
      <c r="E715" s="36" t="str">
        <f>IF(ISNA(VLOOKUP(Tableau13[[#This Row],[Code]],'Code Véhicule'!$A$4:$D$185,4,0))," ",VLOOKUP(Tableau13[[#This Row],[Code]],'Code Véhicule'!$A$4:$D$185,4,0))</f>
        <v>-</v>
      </c>
      <c r="F715" s="36">
        <v>25691</v>
      </c>
      <c r="G715" s="38" t="s">
        <v>1193</v>
      </c>
      <c r="H715" s="38" t="s">
        <v>1337</v>
      </c>
      <c r="I715" s="36" t="s">
        <v>304</v>
      </c>
      <c r="J715" s="39" t="s">
        <v>1525</v>
      </c>
      <c r="K715" s="36">
        <v>168907</v>
      </c>
      <c r="L715" s="40">
        <f>13*570</f>
        <v>7410</v>
      </c>
      <c r="M715" s="40">
        <f>13*570</f>
        <v>7410</v>
      </c>
      <c r="N715" s="41">
        <v>44469</v>
      </c>
      <c r="O715" s="45"/>
      <c r="P715" s="45"/>
      <c r="Q715" s="176" t="e">
        <f>MONTH([1]!Tableau13[[#This Row],[Date début]])</f>
        <v>#REF!</v>
      </c>
      <c r="R715" s="180" t="e">
        <f>YEAR([1]!Tableau13[[#This Row],[Date début]])</f>
        <v>#REF!</v>
      </c>
      <c r="S715" s="44"/>
      <c r="T715" s="44"/>
    </row>
    <row r="716" spans="1:20" s="75" customFormat="1" ht="23.25" customHeight="1">
      <c r="A716" s="35">
        <v>44455</v>
      </c>
      <c r="B716" s="36">
        <v>438</v>
      </c>
      <c r="C716" s="37" t="str">
        <f>IF(ISNA(VLOOKUP(Tableau13[[#This Row],[Code]],'Code Véhicule'!$A$4:$C$185,2,0)),"",VLOOKUP(Tableau13[[#This Row],[Code]],'Code Véhicule'!$A$4:$C$185,2,0))</f>
        <v>Semi remorque</v>
      </c>
      <c r="D716" s="38" t="str">
        <f>IF(ISNA(VLOOKUP(Tableau13[[#This Row],[Code]],'Code Véhicule'!$A$4:$C$185,3,0)),"",VLOOKUP(Tableau13[[#This Row],[Code]],'Code Véhicule'!$A$4:$C$185,3,0))</f>
        <v>VOLVO</v>
      </c>
      <c r="E716" s="36" t="str">
        <f>IF(ISNA(VLOOKUP(Tableau13[[#This Row],[Code]],'Code Véhicule'!$A$4:$D$185,4,0))," ",VLOOKUP(Tableau13[[#This Row],[Code]],'Code Véhicule'!$A$4:$D$185,4,0))</f>
        <v xml:space="preserve">17885-A-73 </v>
      </c>
      <c r="F716" s="36">
        <v>25668</v>
      </c>
      <c r="G716" s="38" t="s">
        <v>353</v>
      </c>
      <c r="H716" s="38" t="s">
        <v>701</v>
      </c>
      <c r="I716" s="36" t="s">
        <v>304</v>
      </c>
      <c r="J716" s="39" t="s">
        <v>339</v>
      </c>
      <c r="K716" s="36">
        <v>1699511</v>
      </c>
      <c r="L716" s="40">
        <v>60</v>
      </c>
      <c r="M716" s="40">
        <v>60</v>
      </c>
      <c r="N716" s="41">
        <v>44455</v>
      </c>
      <c r="O716" s="45"/>
      <c r="P716" s="45"/>
      <c r="Q716" s="176" t="e">
        <f>MONTH([1]!Tableau13[[#This Row],[Date début]])</f>
        <v>#REF!</v>
      </c>
      <c r="R716" s="180" t="e">
        <f>YEAR([1]!Tableau13[[#This Row],[Date début]])</f>
        <v>#REF!</v>
      </c>
      <c r="S716" s="44"/>
      <c r="T716" s="44"/>
    </row>
    <row r="717" spans="1:20" s="75" customFormat="1" ht="23.25" customHeight="1">
      <c r="A717" s="35">
        <v>44455</v>
      </c>
      <c r="B717" s="36">
        <v>436</v>
      </c>
      <c r="C717" s="37" t="str">
        <f>IF(ISNA(VLOOKUP(Tableau13[[#This Row],[Code]],'Code Véhicule'!$A$4:$C$185,2,0)),"",VLOOKUP(Tableau13[[#This Row],[Code]],'Code Véhicule'!$A$4:$C$185,2,0))</f>
        <v>Camion</v>
      </c>
      <c r="D717" s="38" t="str">
        <f>IF(ISNA(VLOOKUP(Tableau13[[#This Row],[Code]],'Code Véhicule'!$A$4:$C$185,3,0)),"",VLOOKUP(Tableau13[[#This Row],[Code]],'Code Véhicule'!$A$4:$C$185,3,0))</f>
        <v>Mitsubishi</v>
      </c>
      <c r="E717" s="36" t="str">
        <f>IF(ISNA(VLOOKUP(Tableau13[[#This Row],[Code]],'Code Véhicule'!$A$4:$D$185,4,0))," ",VLOOKUP(Tableau13[[#This Row],[Code]],'Code Véhicule'!$A$4:$D$185,4,0))</f>
        <v>11470-A-73</v>
      </c>
      <c r="F717" s="36">
        <v>25673</v>
      </c>
      <c r="G717" s="38" t="s">
        <v>523</v>
      </c>
      <c r="H717" s="38" t="s">
        <v>1311</v>
      </c>
      <c r="I717" s="36" t="s">
        <v>322</v>
      </c>
      <c r="J717" s="39" t="s">
        <v>1312</v>
      </c>
      <c r="K717" s="36">
        <v>169517</v>
      </c>
      <c r="L717" s="40">
        <v>570</v>
      </c>
      <c r="M717" s="40">
        <v>570</v>
      </c>
      <c r="N717" s="41">
        <v>44458</v>
      </c>
      <c r="O717" s="45"/>
      <c r="P717" s="45"/>
      <c r="Q717" s="176" t="e">
        <f>MONTH([1]!Tableau13[[#This Row],[Date début]])</f>
        <v>#REF!</v>
      </c>
      <c r="R717" s="180" t="e">
        <f>YEAR([1]!Tableau13[[#This Row],[Date début]])</f>
        <v>#REF!</v>
      </c>
      <c r="S717" s="44"/>
      <c r="T717" s="44"/>
    </row>
    <row r="718" spans="1:20" s="75" customFormat="1" ht="90" customHeight="1">
      <c r="A718" s="35">
        <v>44456</v>
      </c>
      <c r="B718" s="36" t="s">
        <v>1199</v>
      </c>
      <c r="C718" s="37" t="str">
        <f>IF(ISNA(VLOOKUP(Tableau13[[#This Row],[Code]],'Code Véhicule'!$A$4:$C$185,2,0)),"",VLOOKUP(Tableau13[[#This Row],[Code]],'Code Véhicule'!$A$4:$C$185,2,0))</f>
        <v>Chargeur</v>
      </c>
      <c r="D718" s="38" t="str">
        <f>IF(ISNA(VLOOKUP(Tableau13[[#This Row],[Code]],'Code Véhicule'!$A$4:$C$185,3,0)),"",VLOOKUP(Tableau13[[#This Row],[Code]],'Code Véhicule'!$A$4:$C$185,3,0))</f>
        <v>Caterpillar</v>
      </c>
      <c r="E718" s="36" t="str">
        <f>IF(ISNA(VLOOKUP(Tableau13[[#This Row],[Code]],'Code Véhicule'!$A$4:$D$185,4,0))," ",VLOOKUP(Tableau13[[#This Row],[Code]],'Code Véhicule'!$A$4:$D$185,4,0))</f>
        <v>-</v>
      </c>
      <c r="F718" s="36">
        <v>25666</v>
      </c>
      <c r="G718" s="38" t="s">
        <v>1146</v>
      </c>
      <c r="H718" s="38" t="s">
        <v>1151</v>
      </c>
      <c r="I718" s="36" t="s">
        <v>304</v>
      </c>
      <c r="J718" s="39" t="s">
        <v>1304</v>
      </c>
      <c r="K718" s="36">
        <v>169515</v>
      </c>
      <c r="L718" s="40">
        <v>570</v>
      </c>
      <c r="M718" s="40">
        <v>570</v>
      </c>
      <c r="N718" s="41">
        <v>44456</v>
      </c>
      <c r="O718" s="45"/>
      <c r="P718" s="45"/>
      <c r="Q718" s="176" t="e">
        <f>MONTH([1]!Tableau13[[#This Row],[Date début]])</f>
        <v>#REF!</v>
      </c>
      <c r="R718" s="180" t="e">
        <f>YEAR([1]!Tableau13[[#This Row],[Date début]])</f>
        <v>#REF!</v>
      </c>
      <c r="S718" s="44"/>
      <c r="T718" s="44"/>
    </row>
    <row r="719" spans="1:20" s="75" customFormat="1" ht="30">
      <c r="A719" s="35">
        <v>44456</v>
      </c>
      <c r="B719" s="36">
        <v>479</v>
      </c>
      <c r="C719" s="37" t="str">
        <f>IF(ISNA(VLOOKUP(Tableau13[[#This Row],[Code]],'Code Véhicule'!$A$4:$C$185,2,0)),"",VLOOKUP(Tableau13[[#This Row],[Code]],'Code Véhicule'!$A$4:$C$185,2,0))</f>
        <v>Bus de transport</v>
      </c>
      <c r="D719" s="38" t="str">
        <f>IF(ISNA(VLOOKUP(Tableau13[[#This Row],[Code]],'Code Véhicule'!$A$4:$C$185,3,0)),"",VLOOKUP(Tableau13[[#This Row],[Code]],'Code Véhicule'!$A$4:$C$185,3,0))</f>
        <v>Hyundai County</v>
      </c>
      <c r="E719" s="36" t="str">
        <f>IF(ISNA(VLOOKUP(Tableau13[[#This Row],[Code]],'Code Véhicule'!$A$4:$D$185,4,0))," ",VLOOKUP(Tableau13[[#This Row],[Code]],'Code Véhicule'!$A$4:$D$185,4,0))</f>
        <v>22772-A-73</v>
      </c>
      <c r="F719" s="36">
        <v>25669</v>
      </c>
      <c r="G719" s="38" t="s">
        <v>545</v>
      </c>
      <c r="H719" s="38" t="s">
        <v>995</v>
      </c>
      <c r="I719" s="36" t="s">
        <v>304</v>
      </c>
      <c r="J719" s="39" t="s">
        <v>1305</v>
      </c>
      <c r="K719" s="36" t="s">
        <v>1306</v>
      </c>
      <c r="L719" s="40">
        <v>3420</v>
      </c>
      <c r="M719" s="40">
        <v>3420</v>
      </c>
      <c r="N719" s="41">
        <v>44465</v>
      </c>
      <c r="O719" s="45"/>
      <c r="P719" s="45"/>
      <c r="Q719" s="176" t="e">
        <f>MONTH([1]!Tableau13[[#This Row],[Date début]])</f>
        <v>#REF!</v>
      </c>
      <c r="R719" s="180" t="e">
        <f>YEAR([1]!Tableau13[[#This Row],[Date début]])</f>
        <v>#REF!</v>
      </c>
      <c r="S719" s="44"/>
      <c r="T719" s="44"/>
    </row>
    <row r="720" spans="1:20" s="75" customFormat="1" ht="105" customHeight="1">
      <c r="A720" s="35">
        <v>44457</v>
      </c>
      <c r="B720" s="36">
        <v>414</v>
      </c>
      <c r="C720" s="37" t="str">
        <f>IF(ISNA(VLOOKUP(Tableau13[[#This Row],[Code]],'Code Véhicule'!$A$4:$C$185,2,0)),"",VLOOKUP(Tableau13[[#This Row],[Code]],'Code Véhicule'!$A$4:$C$185,2,0))</f>
        <v>Balayeuse</v>
      </c>
      <c r="D720" s="38" t="str">
        <f>IF(ISNA(VLOOKUP(Tableau13[[#This Row],[Code]],'Code Véhicule'!$A$4:$C$185,3,0)),"",VLOOKUP(Tableau13[[#This Row],[Code]],'Code Véhicule'!$A$4:$C$185,3,0))</f>
        <v>Bobcat</v>
      </c>
      <c r="E720" s="36" t="str">
        <f>IF(ISNA(VLOOKUP(Tableau13[[#This Row],[Code]],'Code Véhicule'!$A$4:$D$185,4,0))," ",VLOOKUP(Tableau13[[#This Row],[Code]],'Code Véhicule'!$A$4:$D$185,4,0))</f>
        <v>-</v>
      </c>
      <c r="F720" s="36">
        <v>25694</v>
      </c>
      <c r="G720" s="38" t="s">
        <v>1338</v>
      </c>
      <c r="H720" s="38" t="s">
        <v>737</v>
      </c>
      <c r="I720" s="36" t="s">
        <v>304</v>
      </c>
      <c r="J720" s="39" t="s">
        <v>1523</v>
      </c>
      <c r="K720" s="36" t="s">
        <v>1339</v>
      </c>
      <c r="L720" s="40">
        <v>3420</v>
      </c>
      <c r="M720" s="40">
        <v>6840</v>
      </c>
      <c r="N720" s="41">
        <v>44473</v>
      </c>
      <c r="O720" s="45"/>
      <c r="P720" s="45"/>
      <c r="Q720" s="176" t="e">
        <f>MONTH([1]!Tableau13[[#This Row],[Date début]])</f>
        <v>#REF!</v>
      </c>
      <c r="R720" s="180" t="e">
        <f>YEAR([1]!Tableau13[[#This Row],[Date début]])</f>
        <v>#REF!</v>
      </c>
      <c r="S720" s="44"/>
      <c r="T720" s="44"/>
    </row>
    <row r="721" spans="1:20" s="75" customFormat="1" ht="23.25" customHeight="1">
      <c r="A721" s="35">
        <v>44459</v>
      </c>
      <c r="B721" s="36">
        <v>429</v>
      </c>
      <c r="C721" s="37" t="str">
        <f>IF(ISNA(VLOOKUP(Tableau13[[#This Row],[Code]],'Code Véhicule'!$A$4:$C$185,2,0)),"",VLOOKUP(Tableau13[[#This Row],[Code]],'Code Véhicule'!$A$4:$C$185,2,0))</f>
        <v>Chariot elevateur</v>
      </c>
      <c r="D721" s="38" t="str">
        <f>IF(ISNA(VLOOKUP(Tableau13[[#This Row],[Code]],'Code Véhicule'!$A$4:$C$185,3,0)),"",VLOOKUP(Tableau13[[#This Row],[Code]],'Code Véhicule'!$A$4:$C$185,3,0))</f>
        <v>Fenwick HD30</v>
      </c>
      <c r="E721" s="36" t="str">
        <f>IF(ISNA(VLOOKUP(Tableau13[[#This Row],[Code]],'Code Véhicule'!$A$4:$D$185,4,0))," ",VLOOKUP(Tableau13[[#This Row],[Code]],'Code Véhicule'!$A$4:$D$185,4,0))</f>
        <v>-</v>
      </c>
      <c r="F721" s="36">
        <v>25675</v>
      </c>
      <c r="G721" s="38" t="s">
        <v>1315</v>
      </c>
      <c r="H721" s="38" t="s">
        <v>1316</v>
      </c>
      <c r="I721" s="36" t="s">
        <v>304</v>
      </c>
      <c r="J721" s="39" t="s">
        <v>1317</v>
      </c>
      <c r="K721" s="36">
        <v>169523</v>
      </c>
      <c r="L721" s="40">
        <v>180</v>
      </c>
      <c r="M721" s="40">
        <v>180</v>
      </c>
      <c r="N721" s="41">
        <v>44459</v>
      </c>
      <c r="O721" s="45"/>
      <c r="P721" s="45"/>
      <c r="Q721" s="176" t="e">
        <f>MONTH([1]!Tableau13[[#This Row],[Date début]])</f>
        <v>#REF!</v>
      </c>
      <c r="R721" s="180" t="e">
        <f>YEAR([1]!Tableau13[[#This Row],[Date début]])</f>
        <v>#REF!</v>
      </c>
      <c r="S721" s="44"/>
      <c r="T721" s="44"/>
    </row>
    <row r="722" spans="1:20" s="75" customFormat="1" ht="30" customHeight="1">
      <c r="A722" s="35">
        <v>44459</v>
      </c>
      <c r="B722" s="36">
        <v>426</v>
      </c>
      <c r="C722" s="37" t="str">
        <f>IF(ISNA(VLOOKUP(Tableau13[[#This Row],[Code]],'Code Véhicule'!$A$4:$C$185,2,0)),"",VLOOKUP(Tableau13[[#This Row],[Code]],'Code Véhicule'!$A$4:$C$185,2,0))</f>
        <v>Chariot elevateur</v>
      </c>
      <c r="D722" s="38" t="str">
        <f>IF(ISNA(VLOOKUP(Tableau13[[#This Row],[Code]],'Code Véhicule'!$A$4:$C$185,3,0)),"",VLOOKUP(Tableau13[[#This Row],[Code]],'Code Véhicule'!$A$4:$C$185,3,0))</f>
        <v>Manitou MC 30</v>
      </c>
      <c r="E722" s="36" t="str">
        <f>IF(ISNA(VLOOKUP(Tableau13[[#This Row],[Code]],'Code Véhicule'!$A$4:$D$185,4,0))," ",VLOOKUP(Tableau13[[#This Row],[Code]],'Code Véhicule'!$A$4:$D$185,4,0))</f>
        <v>-</v>
      </c>
      <c r="F722" s="36">
        <v>25676</v>
      </c>
      <c r="G722" s="38" t="s">
        <v>393</v>
      </c>
      <c r="H722" s="38" t="s">
        <v>1318</v>
      </c>
      <c r="I722" s="36" t="s">
        <v>304</v>
      </c>
      <c r="J722" s="39" t="s">
        <v>1319</v>
      </c>
      <c r="K722" s="36">
        <v>169527</v>
      </c>
      <c r="L722" s="40">
        <v>30</v>
      </c>
      <c r="M722" s="40">
        <v>30</v>
      </c>
      <c r="N722" s="41">
        <v>44468</v>
      </c>
      <c r="O722" s="45"/>
      <c r="P722" s="45"/>
      <c r="Q722" s="176" t="e">
        <f>MONTH([1]!Tableau13[[#This Row],[Date début]])</f>
        <v>#REF!</v>
      </c>
      <c r="R722" s="180" t="e">
        <f>YEAR([1]!Tableau13[[#This Row],[Date début]])</f>
        <v>#REF!</v>
      </c>
      <c r="S722" s="44"/>
      <c r="T722" s="44"/>
    </row>
    <row r="723" spans="1:20" s="75" customFormat="1" ht="23.25" customHeight="1">
      <c r="A723" s="35">
        <v>44459</v>
      </c>
      <c r="B723" s="36">
        <v>439</v>
      </c>
      <c r="C723" s="37" t="str">
        <f>IF(ISNA(VLOOKUP(Tableau13[[#This Row],[Code]],'Code Véhicule'!$A$4:$C$185,2,0)),"",VLOOKUP(Tableau13[[#This Row],[Code]],'Code Véhicule'!$A$4:$C$185,2,0))</f>
        <v>Semi remorque</v>
      </c>
      <c r="D723" s="38" t="str">
        <f>IF(ISNA(VLOOKUP(Tableau13[[#This Row],[Code]],'Code Véhicule'!$A$4:$C$185,3,0)),"",VLOOKUP(Tableau13[[#This Row],[Code]],'Code Véhicule'!$A$4:$C$185,3,0))</f>
        <v>VOLVO</v>
      </c>
      <c r="E723" s="36" t="str">
        <f>IF(ISNA(VLOOKUP(Tableau13[[#This Row],[Code]],'Code Véhicule'!$A$4:$D$185,4,0))," ",VLOOKUP(Tableau13[[#This Row],[Code]],'Code Véhicule'!$A$4:$D$185,4,0))</f>
        <v xml:space="preserve">17886-A-73 </v>
      </c>
      <c r="F723" s="36">
        <v>25678</v>
      </c>
      <c r="G723" s="38" t="s">
        <v>560</v>
      </c>
      <c r="H723" s="38" t="s">
        <v>604</v>
      </c>
      <c r="I723" s="36" t="s">
        <v>304</v>
      </c>
      <c r="J723" s="39" t="s">
        <v>340</v>
      </c>
      <c r="K723" s="36">
        <v>169528</v>
      </c>
      <c r="L723" s="40">
        <v>120</v>
      </c>
      <c r="M723" s="40">
        <v>120</v>
      </c>
      <c r="N723" s="41">
        <v>44459</v>
      </c>
      <c r="O723" s="45"/>
      <c r="P723" s="45"/>
      <c r="Q723" s="176" t="e">
        <f>MONTH([1]!Tableau13[[#This Row],[Date début]])</f>
        <v>#REF!</v>
      </c>
      <c r="R723" s="180" t="e">
        <f>YEAR([1]!Tableau13[[#This Row],[Date début]])</f>
        <v>#REF!</v>
      </c>
      <c r="S723" s="44"/>
      <c r="T723" s="44"/>
    </row>
    <row r="724" spans="1:20" s="75" customFormat="1" ht="23.25" customHeight="1">
      <c r="A724" s="35">
        <v>44460</v>
      </c>
      <c r="B724" s="36">
        <v>401</v>
      </c>
      <c r="C724" s="37" t="str">
        <f>IF(ISNA(VLOOKUP(Tableau13[[#This Row],[Code]],'Code Véhicule'!$A$4:$C$185,2,0)),"",VLOOKUP(Tableau13[[#This Row],[Code]],'Code Véhicule'!$A$4:$C$185,2,0))</f>
        <v>Camion</v>
      </c>
      <c r="D724" s="38" t="str">
        <f>IF(ISNA(VLOOKUP(Tableau13[[#This Row],[Code]],'Code Véhicule'!$A$4:$C$185,3,0)),"",VLOOKUP(Tableau13[[#This Row],[Code]],'Code Véhicule'!$A$4:$C$185,3,0))</f>
        <v>ISUZU</v>
      </c>
      <c r="E724" s="36" t="str">
        <f>IF(ISNA(VLOOKUP(Tableau13[[#This Row],[Code]],'Code Véhicule'!$A$4:$D$185,4,0))," ",VLOOKUP(Tableau13[[#This Row],[Code]],'Code Véhicule'!$A$4:$D$185,4,0))</f>
        <v>26128-A-8</v>
      </c>
      <c r="F724" s="36">
        <v>25679</v>
      </c>
      <c r="G724" s="38" t="s">
        <v>327</v>
      </c>
      <c r="H724" s="38" t="s">
        <v>1034</v>
      </c>
      <c r="I724" s="36" t="s">
        <v>304</v>
      </c>
      <c r="J724" s="114" t="s">
        <v>1320</v>
      </c>
      <c r="K724" s="36">
        <v>169530</v>
      </c>
      <c r="L724" s="40">
        <v>120</v>
      </c>
      <c r="M724" s="40">
        <v>120</v>
      </c>
      <c r="N724" s="41">
        <v>44460</v>
      </c>
      <c r="O724" s="45"/>
      <c r="P724" s="45"/>
      <c r="Q724" s="176" t="e">
        <f>MONTH([1]!Tableau13[[#This Row],[Date début]])</f>
        <v>#REF!</v>
      </c>
      <c r="R724" s="180" t="e">
        <f>YEAR([1]!Tableau13[[#This Row],[Date début]])</f>
        <v>#REF!</v>
      </c>
      <c r="S724" s="44"/>
      <c r="T724" s="44"/>
    </row>
    <row r="725" spans="1:20" s="75" customFormat="1" ht="30" customHeight="1">
      <c r="A725" s="35">
        <v>44460</v>
      </c>
      <c r="B725" s="36">
        <v>403</v>
      </c>
      <c r="C725" s="37" t="str">
        <f>IF(ISNA(VLOOKUP(Tableau13[[#This Row],[Code]],'Code Véhicule'!$A$4:$C$185,2,0)),"",VLOOKUP(Tableau13[[#This Row],[Code]],'Code Véhicule'!$A$4:$C$185,2,0))</f>
        <v>Camion</v>
      </c>
      <c r="D725" s="38" t="str">
        <f>IF(ISNA(VLOOKUP(Tableau13[[#This Row],[Code]],'Code Véhicule'!$A$4:$C$185,3,0)),"",VLOOKUP(Tableau13[[#This Row],[Code]],'Code Véhicule'!$A$4:$C$185,3,0))</f>
        <v>MAN</v>
      </c>
      <c r="E725" s="36" t="str">
        <f>IF(ISNA(VLOOKUP(Tableau13[[#This Row],[Code]],'Code Véhicule'!$A$4:$D$185,4,0))," ",VLOOKUP(Tableau13[[#This Row],[Code]],'Code Véhicule'!$A$4:$D$185,4,0))</f>
        <v>4790-B-8</v>
      </c>
      <c r="F725" s="36">
        <v>25682</v>
      </c>
      <c r="G725" s="38" t="s">
        <v>1323</v>
      </c>
      <c r="H725" s="38" t="s">
        <v>1324</v>
      </c>
      <c r="I725" s="36" t="s">
        <v>304</v>
      </c>
      <c r="J725" s="39" t="s">
        <v>1325</v>
      </c>
      <c r="K725" s="36">
        <v>169531</v>
      </c>
      <c r="L725" s="40">
        <v>570</v>
      </c>
      <c r="M725" s="40">
        <v>570</v>
      </c>
      <c r="N725" s="41">
        <v>44460</v>
      </c>
      <c r="O725" s="45"/>
      <c r="P725" s="45"/>
      <c r="Q725" s="176" t="e">
        <f>MONTH([1]!Tableau13[[#This Row],[Date début]])</f>
        <v>#REF!</v>
      </c>
      <c r="R725" s="180" t="e">
        <f>YEAR([1]!Tableau13[[#This Row],[Date début]])</f>
        <v>#REF!</v>
      </c>
      <c r="S725" s="44"/>
      <c r="T725" s="44"/>
    </row>
    <row r="726" spans="1:20" s="75" customFormat="1" ht="60" customHeight="1">
      <c r="A726" s="35">
        <v>44461</v>
      </c>
      <c r="B726" s="36">
        <v>480</v>
      </c>
      <c r="C726" s="37" t="str">
        <f>IF(ISNA(VLOOKUP(Tableau13[[#This Row],[Code]],'Code Véhicule'!$A$4:$C$185,2,0)),"",VLOOKUP(Tableau13[[#This Row],[Code]],'Code Véhicule'!$A$4:$C$185,2,0))</f>
        <v>Camion</v>
      </c>
      <c r="D726" s="38" t="str">
        <f>IF(ISNA(VLOOKUP(Tableau13[[#This Row],[Code]],'Code Véhicule'!$A$4:$C$185,3,0)),"",VLOOKUP(Tableau13[[#This Row],[Code]],'Code Véhicule'!$A$4:$C$185,3,0))</f>
        <v>VOLVO</v>
      </c>
      <c r="E726" s="36" t="str">
        <f>IF(ISNA(VLOOKUP(Tableau13[[#This Row],[Code]],'Code Véhicule'!$A$4:$D$185,4,0))," ",VLOOKUP(Tableau13[[#This Row],[Code]],'Code Véhicule'!$A$4:$D$185,4,0))</f>
        <v>22299-A-73</v>
      </c>
      <c r="F726" s="36">
        <v>25680</v>
      </c>
      <c r="G726" s="38" t="s">
        <v>393</v>
      </c>
      <c r="H726" s="38" t="s">
        <v>608</v>
      </c>
      <c r="I726" s="36" t="s">
        <v>302</v>
      </c>
      <c r="J726" s="39" t="s">
        <v>1321</v>
      </c>
      <c r="K726" s="36">
        <v>169536</v>
      </c>
      <c r="L726" s="40">
        <v>120</v>
      </c>
      <c r="M726" s="40">
        <v>120</v>
      </c>
      <c r="N726" s="41">
        <v>44461</v>
      </c>
      <c r="O726" s="45"/>
      <c r="P726" s="45"/>
      <c r="Q726" s="176" t="e">
        <f>MONTH([1]!Tableau13[[#This Row],[Date début]])</f>
        <v>#REF!</v>
      </c>
      <c r="R726" s="180" t="e">
        <f>YEAR([1]!Tableau13[[#This Row],[Date début]])</f>
        <v>#REF!</v>
      </c>
      <c r="S726" s="44"/>
      <c r="T726" s="44"/>
    </row>
    <row r="727" spans="1:20" s="75" customFormat="1" ht="30" customHeight="1">
      <c r="A727" s="35">
        <v>44461</v>
      </c>
      <c r="B727" s="36">
        <v>435</v>
      </c>
      <c r="C727" s="37" t="str">
        <f>IF(ISNA(VLOOKUP(Tableau13[[#This Row],[Code]],'Code Véhicule'!$A$4:$C$185,2,0)),"",VLOOKUP(Tableau13[[#This Row],[Code]],'Code Véhicule'!$A$4:$C$185,2,0))</f>
        <v>Camion</v>
      </c>
      <c r="D727" s="38" t="str">
        <f>IF(ISNA(VLOOKUP(Tableau13[[#This Row],[Code]],'Code Véhicule'!$A$4:$C$185,3,0)),"",VLOOKUP(Tableau13[[#This Row],[Code]],'Code Véhicule'!$A$4:$C$185,3,0))</f>
        <v>Mitsubishi</v>
      </c>
      <c r="E727" s="36" t="str">
        <f>IF(ISNA(VLOOKUP(Tableau13[[#This Row],[Code]],'Code Véhicule'!$A$4:$D$185,4,0))," ",VLOOKUP(Tableau13[[#This Row],[Code]],'Code Véhicule'!$A$4:$D$185,4,0))</f>
        <v xml:space="preserve"> 11469-A-73</v>
      </c>
      <c r="F727" s="36">
        <v>25681</v>
      </c>
      <c r="G727" s="38" t="s">
        <v>393</v>
      </c>
      <c r="H727" s="38" t="s">
        <v>1318</v>
      </c>
      <c r="I727" s="36" t="s">
        <v>304</v>
      </c>
      <c r="J727" s="39" t="s">
        <v>1322</v>
      </c>
      <c r="K727" s="36">
        <v>169539</v>
      </c>
      <c r="L727" s="40">
        <v>30</v>
      </c>
      <c r="M727" s="40">
        <v>30</v>
      </c>
      <c r="N727" s="41">
        <v>44461</v>
      </c>
      <c r="O727" s="45"/>
      <c r="P727" s="45"/>
      <c r="Q727" s="176" t="e">
        <f>MONTH([1]!Tableau13[[#This Row],[Date début]])</f>
        <v>#REF!</v>
      </c>
      <c r="R727" s="180" t="e">
        <f>YEAR([1]!Tableau13[[#This Row],[Date début]])</f>
        <v>#REF!</v>
      </c>
      <c r="S727" s="44"/>
      <c r="T727" s="44"/>
    </row>
    <row r="728" spans="1:20" s="75" customFormat="1" ht="45" customHeight="1">
      <c r="A728" s="35">
        <v>44461</v>
      </c>
      <c r="B728" s="36">
        <v>472</v>
      </c>
      <c r="C728" s="37" t="str">
        <f>IF(ISNA(VLOOKUP(Tableau13[[#This Row],[Code]],'Code Véhicule'!$A$4:$C$185,2,0)),"",VLOOKUP(Tableau13[[#This Row],[Code]],'Code Véhicule'!$A$4:$C$185,2,0))</f>
        <v>Chariot elevateur</v>
      </c>
      <c r="D728" s="38" t="str">
        <f>IF(ISNA(VLOOKUP(Tableau13[[#This Row],[Code]],'Code Véhicule'!$A$4:$C$185,3,0)),"",VLOOKUP(Tableau13[[#This Row],[Code]],'Code Véhicule'!$A$4:$C$185,3,0))</f>
        <v>Linde H25d</v>
      </c>
      <c r="E728" s="36" t="str">
        <f>IF(ISNA(VLOOKUP(Tableau13[[#This Row],[Code]],'Code Véhicule'!$A$4:$D$185,4,0))," ",VLOOKUP(Tableau13[[#This Row],[Code]],'Code Véhicule'!$A$4:$D$185,4,0))</f>
        <v>-</v>
      </c>
      <c r="F728" s="36">
        <v>25685</v>
      </c>
      <c r="G728" s="38" t="s">
        <v>393</v>
      </c>
      <c r="H728" s="38" t="s">
        <v>608</v>
      </c>
      <c r="I728" s="36" t="s">
        <v>304</v>
      </c>
      <c r="J728" s="39" t="s">
        <v>1329</v>
      </c>
      <c r="K728" s="36">
        <v>168956</v>
      </c>
      <c r="L728" s="40">
        <v>60</v>
      </c>
      <c r="M728" s="40">
        <v>60</v>
      </c>
      <c r="N728" s="41">
        <v>44461</v>
      </c>
      <c r="O728" s="45"/>
      <c r="P728" s="45"/>
      <c r="Q728" s="176" t="e">
        <f>MONTH([1]!Tableau13[[#This Row],[Date début]])</f>
        <v>#REF!</v>
      </c>
      <c r="R728" s="180" t="e">
        <f>YEAR([1]!Tableau13[[#This Row],[Date début]])</f>
        <v>#REF!</v>
      </c>
      <c r="S728" s="44"/>
      <c r="T728" s="44"/>
    </row>
    <row r="729" spans="1:20" s="75" customFormat="1" ht="30" customHeight="1">
      <c r="A729" s="35">
        <v>44463</v>
      </c>
      <c r="B729" s="36">
        <v>427</v>
      </c>
      <c r="C729" s="37" t="str">
        <f>IF(ISNA(VLOOKUP(Tableau13[[#This Row],[Code]],'Code Véhicule'!$A$4:$C$185,2,0)),"",VLOOKUP(Tableau13[[#This Row],[Code]],'Code Véhicule'!$A$4:$C$185,2,0))</f>
        <v>Chariot elevateur</v>
      </c>
      <c r="D729" s="38" t="str">
        <f>IF(ISNA(VLOOKUP(Tableau13[[#This Row],[Code]],'Code Véhicule'!$A$4:$C$185,3,0)),"",VLOOKUP(Tableau13[[#This Row],[Code]],'Code Véhicule'!$A$4:$C$185,3,0))</f>
        <v>Linde H30</v>
      </c>
      <c r="E729" s="36" t="str">
        <f>IF(ISNA(VLOOKUP(Tableau13[[#This Row],[Code]],'Code Véhicule'!$A$4:$D$185,4,0))," ",VLOOKUP(Tableau13[[#This Row],[Code]],'Code Véhicule'!$A$4:$D$185,4,0))</f>
        <v>-</v>
      </c>
      <c r="F729" s="36">
        <v>25683</v>
      </c>
      <c r="G729" s="38" t="s">
        <v>393</v>
      </c>
      <c r="H729" s="38" t="s">
        <v>608</v>
      </c>
      <c r="I729" s="36" t="s">
        <v>304</v>
      </c>
      <c r="J729" s="39" t="s">
        <v>1326</v>
      </c>
      <c r="K729" s="36">
        <v>168954</v>
      </c>
      <c r="L729" s="40">
        <v>60</v>
      </c>
      <c r="M729" s="40">
        <v>60</v>
      </c>
      <c r="N729" s="41">
        <v>44463</v>
      </c>
      <c r="O729" s="45"/>
      <c r="P729" s="45"/>
      <c r="Q729" s="176" t="e">
        <f>MONTH([1]!Tableau13[[#This Row],[Date début]])</f>
        <v>#REF!</v>
      </c>
      <c r="R729" s="180" t="e">
        <f>YEAR([1]!Tableau13[[#This Row],[Date début]])</f>
        <v>#REF!</v>
      </c>
      <c r="S729" s="44"/>
      <c r="T729" s="44"/>
    </row>
    <row r="730" spans="1:20" s="75" customFormat="1" ht="30" customHeight="1">
      <c r="A730" s="35">
        <v>44463</v>
      </c>
      <c r="B730" s="36">
        <v>426</v>
      </c>
      <c r="C730" s="37" t="str">
        <f>IF(ISNA(VLOOKUP(Tableau13[[#This Row],[Code]],'Code Véhicule'!$A$4:$C$185,2,0)),"",VLOOKUP(Tableau13[[#This Row],[Code]],'Code Véhicule'!$A$4:$C$185,2,0))</f>
        <v>Chariot elevateur</v>
      </c>
      <c r="D730" s="38" t="str">
        <f>IF(ISNA(VLOOKUP(Tableau13[[#This Row],[Code]],'Code Véhicule'!$A$4:$C$185,3,0)),"",VLOOKUP(Tableau13[[#This Row],[Code]],'Code Véhicule'!$A$4:$C$185,3,0))</f>
        <v>Manitou MC 30</v>
      </c>
      <c r="E730" s="36" t="str">
        <f>IF(ISNA(VLOOKUP(Tableau13[[#This Row],[Code]],'Code Véhicule'!$A$4:$D$185,4,0))," ",VLOOKUP(Tableau13[[#This Row],[Code]],'Code Véhicule'!$A$4:$D$185,4,0))</f>
        <v>-</v>
      </c>
      <c r="F730" s="36">
        <v>25684</v>
      </c>
      <c r="G730" s="38" t="s">
        <v>932</v>
      </c>
      <c r="H730" s="38" t="s">
        <v>1327</v>
      </c>
      <c r="I730" s="36" t="s">
        <v>304</v>
      </c>
      <c r="J730" s="39" t="s">
        <v>1328</v>
      </c>
      <c r="K730" s="36">
        <v>168955</v>
      </c>
      <c r="L730" s="40">
        <v>1140</v>
      </c>
      <c r="M730" s="40">
        <v>1140</v>
      </c>
      <c r="N730" s="41">
        <v>44465</v>
      </c>
      <c r="O730" s="45"/>
      <c r="P730" s="45"/>
      <c r="Q730" s="176" t="e">
        <f>MONTH([1]!Tableau13[[#This Row],[Date début]])</f>
        <v>#REF!</v>
      </c>
      <c r="R730" s="180" t="e">
        <f>YEAR([1]!Tableau13[[#This Row],[Date début]])</f>
        <v>#REF!</v>
      </c>
      <c r="S730" s="44"/>
      <c r="T730" s="44"/>
    </row>
    <row r="731" spans="1:20" s="75" customFormat="1" ht="30">
      <c r="A731" s="35">
        <v>44463</v>
      </c>
      <c r="B731" s="36">
        <v>479</v>
      </c>
      <c r="C731" s="37" t="str">
        <f>IF(ISNA(VLOOKUP(Tableau13[[#This Row],[Code]],'Code Véhicule'!$A$4:$C$185,2,0)),"",VLOOKUP(Tableau13[[#This Row],[Code]],'Code Véhicule'!$A$4:$C$185,2,0))</f>
        <v>Bus de transport</v>
      </c>
      <c r="D731" s="38" t="str">
        <f>IF(ISNA(VLOOKUP(Tableau13[[#This Row],[Code]],'Code Véhicule'!$A$4:$C$185,3,0)),"",VLOOKUP(Tableau13[[#This Row],[Code]],'Code Véhicule'!$A$4:$C$185,3,0))</f>
        <v>Hyundai County</v>
      </c>
      <c r="E731" s="36" t="str">
        <f>IF(ISNA(VLOOKUP(Tableau13[[#This Row],[Code]],'Code Véhicule'!$A$4:$D$185,4,0))," ",VLOOKUP(Tableau13[[#This Row],[Code]],'Code Véhicule'!$A$4:$D$185,4,0))</f>
        <v>22772-A-73</v>
      </c>
      <c r="F731" s="36">
        <v>25697</v>
      </c>
      <c r="G731" s="38" t="s">
        <v>1344</v>
      </c>
      <c r="H731" s="38" t="s">
        <v>995</v>
      </c>
      <c r="I731" s="36" t="s">
        <v>304</v>
      </c>
      <c r="J731" s="39" t="s">
        <v>1345</v>
      </c>
      <c r="K731" s="36">
        <v>168951</v>
      </c>
      <c r="L731" s="40">
        <v>240</v>
      </c>
      <c r="M731" s="40">
        <v>240</v>
      </c>
      <c r="N731" s="41">
        <v>44463</v>
      </c>
      <c r="O731" s="45"/>
      <c r="P731" s="45"/>
      <c r="Q731" s="176" t="e">
        <f>MONTH([1]!Tableau13[[#This Row],[Date début]])</f>
        <v>#REF!</v>
      </c>
      <c r="R731" s="180" t="e">
        <f>YEAR([1]!Tableau13[[#This Row],[Date début]])</f>
        <v>#REF!</v>
      </c>
      <c r="S731" s="44"/>
      <c r="T731" s="44"/>
    </row>
    <row r="732" spans="1:20" s="75" customFormat="1" ht="45" customHeight="1">
      <c r="A732" s="35">
        <v>44464</v>
      </c>
      <c r="B732" s="36">
        <v>477</v>
      </c>
      <c r="C732" s="37" t="str">
        <f>IF(ISNA(VLOOKUP(Tableau13[[#This Row],[Code]],'Code Véhicule'!$A$4:$C$185,2,0)),"",VLOOKUP(Tableau13[[#This Row],[Code]],'Code Véhicule'!$A$4:$C$185,2,0))</f>
        <v>Chariot elevateur</v>
      </c>
      <c r="D732" s="38" t="str">
        <f>IF(ISNA(VLOOKUP(Tableau13[[#This Row],[Code]],'Code Véhicule'!$A$4:$C$185,3,0)),"",VLOOKUP(Tableau13[[#This Row],[Code]],'Code Véhicule'!$A$4:$C$185,3,0))</f>
        <v>Linde H30D</v>
      </c>
      <c r="E732" s="36" t="str">
        <f>IF(ISNA(VLOOKUP(Tableau13[[#This Row],[Code]],'Code Véhicule'!$A$4:$D$185,4,0))," ",VLOOKUP(Tableau13[[#This Row],[Code]],'Code Véhicule'!$A$4:$D$185,4,0))</f>
        <v>-</v>
      </c>
      <c r="F732" s="36">
        <v>25686</v>
      </c>
      <c r="G732" s="38" t="s">
        <v>393</v>
      </c>
      <c r="H732" s="38" t="s">
        <v>608</v>
      </c>
      <c r="I732" s="36" t="s">
        <v>304</v>
      </c>
      <c r="J732" s="39" t="s">
        <v>1330</v>
      </c>
      <c r="K732" s="36">
        <v>168958</v>
      </c>
      <c r="L732" s="40">
        <v>60</v>
      </c>
      <c r="M732" s="40">
        <v>60</v>
      </c>
      <c r="N732" s="41">
        <v>44464</v>
      </c>
      <c r="O732" s="45"/>
      <c r="P732" s="45"/>
      <c r="Q732" s="176" t="e">
        <f>MONTH([1]!Tableau13[[#This Row],[Date début]])</f>
        <v>#REF!</v>
      </c>
      <c r="R732" s="180" t="e">
        <f>YEAR([1]!Tableau13[[#This Row],[Date début]])</f>
        <v>#REF!</v>
      </c>
      <c r="S732" s="44"/>
      <c r="T732" s="44"/>
    </row>
    <row r="733" spans="1:20" s="75" customFormat="1" ht="75" customHeight="1">
      <c r="A733" s="35">
        <v>44464</v>
      </c>
      <c r="B733" s="36">
        <v>434</v>
      </c>
      <c r="C733" s="37" t="str">
        <f>IF(ISNA(VLOOKUP(Tableau13[[#This Row],[Code]],'Code Véhicule'!$A$4:$C$185,2,0)),"",VLOOKUP(Tableau13[[#This Row],[Code]],'Code Véhicule'!$A$4:$C$185,2,0))</f>
        <v>Chariot elevateur</v>
      </c>
      <c r="D733" s="38" t="str">
        <f>IF(ISNA(VLOOKUP(Tableau13[[#This Row],[Code]],'Code Véhicule'!$A$4:$C$185,3,0)),"",VLOOKUP(Tableau13[[#This Row],[Code]],'Code Véhicule'!$A$4:$C$185,3,0))</f>
        <v>Linde H30D</v>
      </c>
      <c r="E733" s="36" t="str">
        <f>IF(ISNA(VLOOKUP(Tableau13[[#This Row],[Code]],'Code Véhicule'!$A$4:$D$185,4,0))," ",VLOOKUP(Tableau13[[#This Row],[Code]],'Code Véhicule'!$A$4:$D$185,4,0))</f>
        <v>-</v>
      </c>
      <c r="F733" s="36">
        <v>25689</v>
      </c>
      <c r="G733" s="38" t="s">
        <v>327</v>
      </c>
      <c r="H733" s="38" t="s">
        <v>1034</v>
      </c>
      <c r="I733" s="36" t="s">
        <v>322</v>
      </c>
      <c r="J733" s="39" t="s">
        <v>1333</v>
      </c>
      <c r="K733" s="36" t="s">
        <v>1334</v>
      </c>
      <c r="L733" s="40">
        <v>2240</v>
      </c>
      <c r="M733" s="40">
        <v>2247</v>
      </c>
      <c r="N733" s="41">
        <v>44469</v>
      </c>
      <c r="O733" s="45"/>
      <c r="P733" s="45"/>
      <c r="Q733" s="176" t="e">
        <f>MONTH([1]!Tableau13[[#This Row],[Date début]])</f>
        <v>#REF!</v>
      </c>
      <c r="R733" s="180" t="e">
        <f>YEAR([1]!Tableau13[[#This Row],[Date début]])</f>
        <v>#REF!</v>
      </c>
      <c r="S733" s="44"/>
      <c r="T733" s="44"/>
    </row>
    <row r="734" spans="1:20" s="75" customFormat="1" ht="45" customHeight="1">
      <c r="A734" s="35">
        <v>44465</v>
      </c>
      <c r="B734" s="36"/>
      <c r="C734" s="37" t="str">
        <f>IF(ISNA(VLOOKUP(Tableau13[[#This Row],[Code]],'Code Véhicule'!$A$4:$C$185,2,0)),"",VLOOKUP(Tableau13[[#This Row],[Code]],'Code Véhicule'!$A$4:$C$185,2,0))</f>
        <v/>
      </c>
      <c r="D734" s="38" t="str">
        <f>IF(ISNA(VLOOKUP(Tableau13[[#This Row],[Code]],'Code Véhicule'!$A$4:$C$185,3,0)),"",VLOOKUP(Tableau13[[#This Row],[Code]],'Code Véhicule'!$A$4:$C$185,3,0))</f>
        <v/>
      </c>
      <c r="E734" s="36" t="str">
        <f>IF(ISNA(VLOOKUP(Tableau13[[#This Row],[Code]],'Code Véhicule'!$A$4:$D$185,4,0))," ",VLOOKUP(Tableau13[[#This Row],[Code]],'Code Véhicule'!$A$4:$D$185,4,0))</f>
        <v xml:space="preserve"> </v>
      </c>
      <c r="F734" s="36">
        <v>25674</v>
      </c>
      <c r="G734" s="38" t="s">
        <v>1313</v>
      </c>
      <c r="H734" s="38" t="s">
        <v>1034</v>
      </c>
      <c r="I734" s="36" t="s">
        <v>304</v>
      </c>
      <c r="J734" s="39" t="s">
        <v>1314</v>
      </c>
      <c r="K734" s="36"/>
      <c r="L734" s="40">
        <v>1140</v>
      </c>
      <c r="M734" s="40">
        <v>1140</v>
      </c>
      <c r="N734" s="41">
        <v>44468</v>
      </c>
      <c r="O734" s="45"/>
      <c r="P734" s="45"/>
      <c r="Q734" s="176" t="e">
        <f>MONTH([1]!Tableau13[[#This Row],[Date début]])</f>
        <v>#REF!</v>
      </c>
      <c r="R734" s="180" t="e">
        <f>YEAR([1]!Tableau13[[#This Row],[Date début]])</f>
        <v>#REF!</v>
      </c>
      <c r="S734" s="44"/>
      <c r="T734" s="44"/>
    </row>
    <row r="735" spans="1:20" s="75" customFormat="1" ht="90">
      <c r="A735" s="35">
        <v>44466</v>
      </c>
      <c r="B735" s="36">
        <v>479</v>
      </c>
      <c r="C735" s="37" t="str">
        <f>IF(ISNA(VLOOKUP(Tableau13[[#This Row],[Code]],'Code Véhicule'!$A$4:$C$185,2,0)),"",VLOOKUP(Tableau13[[#This Row],[Code]],'Code Véhicule'!$A$4:$C$185,2,0))</f>
        <v>Bus de transport</v>
      </c>
      <c r="D735" s="38" t="str">
        <f>IF(ISNA(VLOOKUP(Tableau13[[#This Row],[Code]],'Code Véhicule'!$A$4:$C$185,3,0)),"",VLOOKUP(Tableau13[[#This Row],[Code]],'Code Véhicule'!$A$4:$C$185,3,0))</f>
        <v>Hyundai County</v>
      </c>
      <c r="E735" s="36" t="str">
        <f>IF(ISNA(VLOOKUP(Tableau13[[#This Row],[Code]],'Code Véhicule'!$A$4:$D$185,4,0))," ",VLOOKUP(Tableau13[[#This Row],[Code]],'Code Véhicule'!$A$4:$D$185,4,0))</f>
        <v>22772-A-73</v>
      </c>
      <c r="F735" s="36">
        <v>25687</v>
      </c>
      <c r="G735" s="38" t="s">
        <v>393</v>
      </c>
      <c r="H735" s="38" t="s">
        <v>608</v>
      </c>
      <c r="I735" s="36" t="s">
        <v>304</v>
      </c>
      <c r="J735" s="39" t="s">
        <v>1331</v>
      </c>
      <c r="K735" s="36">
        <v>168962</v>
      </c>
      <c r="L735" s="40">
        <v>120</v>
      </c>
      <c r="M735" s="40">
        <v>120</v>
      </c>
      <c r="N735" s="41">
        <v>44466</v>
      </c>
      <c r="O735" s="45"/>
      <c r="P735" s="45"/>
      <c r="Q735" s="176" t="e">
        <f>MONTH([1]!Tableau13[[#This Row],[Date début]])</f>
        <v>#REF!</v>
      </c>
      <c r="R735" s="180" t="e">
        <f>YEAR([1]!Tableau13[[#This Row],[Date début]])</f>
        <v>#REF!</v>
      </c>
      <c r="S735" s="44"/>
      <c r="T735" s="44"/>
    </row>
    <row r="736" spans="1:20" s="75" customFormat="1" ht="90">
      <c r="A736" s="35">
        <v>44466</v>
      </c>
      <c r="B736" s="36">
        <v>471</v>
      </c>
      <c r="C736" s="37" t="str">
        <f>IF(ISNA(VLOOKUP(Tableau13[[#This Row],[Code]],'Code Véhicule'!$A$4:$C$185,2,0)),"",VLOOKUP(Tableau13[[#This Row],[Code]],'Code Véhicule'!$A$4:$C$185,2,0))</f>
        <v>Bus de transport</v>
      </c>
      <c r="D736" s="38" t="str">
        <f>IF(ISNA(VLOOKUP(Tableau13[[#This Row],[Code]],'Code Véhicule'!$A$4:$C$185,3,0)),"",VLOOKUP(Tableau13[[#This Row],[Code]],'Code Véhicule'!$A$4:$C$185,3,0))</f>
        <v xml:space="preserve">Hyundai County </v>
      </c>
      <c r="E736" s="36" t="str">
        <f>IF(ISNA(VLOOKUP(Tableau13[[#This Row],[Code]],'Code Véhicule'!$A$4:$D$185,4,0))," ",VLOOKUP(Tableau13[[#This Row],[Code]],'Code Véhicule'!$A$4:$D$185,4,0))</f>
        <v>18516-A-73</v>
      </c>
      <c r="F736" s="36">
        <v>25688</v>
      </c>
      <c r="G736" s="38" t="s">
        <v>393</v>
      </c>
      <c r="H736" s="38" t="s">
        <v>608</v>
      </c>
      <c r="I736" s="36" t="s">
        <v>304</v>
      </c>
      <c r="J736" s="39" t="s">
        <v>1332</v>
      </c>
      <c r="K736" s="36">
        <v>168963</v>
      </c>
      <c r="L736" s="40">
        <v>120</v>
      </c>
      <c r="M736" s="40">
        <v>120</v>
      </c>
      <c r="N736" s="41">
        <v>44466</v>
      </c>
      <c r="O736" s="45"/>
      <c r="P736" s="45"/>
      <c r="Q736" s="176" t="e">
        <f>MONTH([1]!Tableau13[[#This Row],[Date début]])</f>
        <v>#REF!</v>
      </c>
      <c r="R736" s="180" t="e">
        <f>YEAR([1]!Tableau13[[#This Row],[Date début]])</f>
        <v>#REF!</v>
      </c>
      <c r="S736" s="44"/>
      <c r="T736" s="44"/>
    </row>
    <row r="737" spans="1:20" s="75" customFormat="1" ht="60" customHeight="1">
      <c r="A737" s="35">
        <v>44466</v>
      </c>
      <c r="B737" s="36">
        <v>436</v>
      </c>
      <c r="C737" s="37" t="str">
        <f>IF(ISNA(VLOOKUP(Tableau13[[#This Row],[Code]],'Code Véhicule'!$A$4:$C$185,2,0)),"",VLOOKUP(Tableau13[[#This Row],[Code]],'Code Véhicule'!$A$4:$C$185,2,0))</f>
        <v>Camion</v>
      </c>
      <c r="D737" s="38" t="str">
        <f>IF(ISNA(VLOOKUP(Tableau13[[#This Row],[Code]],'Code Véhicule'!$A$4:$C$185,3,0)),"",VLOOKUP(Tableau13[[#This Row],[Code]],'Code Véhicule'!$A$4:$C$185,3,0))</f>
        <v>Mitsubishi</v>
      </c>
      <c r="E737" s="36" t="str">
        <f>IF(ISNA(VLOOKUP(Tableau13[[#This Row],[Code]],'Code Véhicule'!$A$4:$D$185,4,0))," ",VLOOKUP(Tableau13[[#This Row],[Code]],'Code Véhicule'!$A$4:$D$185,4,0))</f>
        <v>11470-A-73</v>
      </c>
      <c r="F737" s="36">
        <v>25689</v>
      </c>
      <c r="G737" s="38" t="s">
        <v>327</v>
      </c>
      <c r="H737" s="38" t="s">
        <v>1034</v>
      </c>
      <c r="I737" s="36" t="s">
        <v>304</v>
      </c>
      <c r="J737" s="39" t="s">
        <v>1335</v>
      </c>
      <c r="K737" s="36">
        <v>168966</v>
      </c>
      <c r="L737" s="40">
        <v>120</v>
      </c>
      <c r="M737" s="40">
        <v>120</v>
      </c>
      <c r="N737" s="41">
        <v>44466</v>
      </c>
      <c r="O737" s="45">
        <f>732-556</f>
        <v>176</v>
      </c>
      <c r="P737" s="45"/>
      <c r="Q737" s="176" t="e">
        <f>MONTH([1]!Tableau13[[#This Row],[Date début]])</f>
        <v>#REF!</v>
      </c>
      <c r="R737" s="180" t="e">
        <f>YEAR([1]!Tableau13[[#This Row],[Date début]])</f>
        <v>#REF!</v>
      </c>
      <c r="S737" s="44"/>
      <c r="T737" s="44"/>
    </row>
    <row r="738" spans="1:20" s="75" customFormat="1" ht="75" customHeight="1">
      <c r="A738" s="35">
        <v>44467</v>
      </c>
      <c r="B738" s="36">
        <v>479</v>
      </c>
      <c r="C738" s="37" t="str">
        <f>IF(ISNA(VLOOKUP(Tableau13[[#This Row],[Code]],'Code Véhicule'!$A$4:$C$185,2,0)),"",VLOOKUP(Tableau13[[#This Row],[Code]],'Code Véhicule'!$A$4:$C$185,2,0))</f>
        <v>Bus de transport</v>
      </c>
      <c r="D738" s="38" t="str">
        <f>IF(ISNA(VLOOKUP(Tableau13[[#This Row],[Code]],'Code Véhicule'!$A$4:$C$185,3,0)),"",VLOOKUP(Tableau13[[#This Row],[Code]],'Code Véhicule'!$A$4:$C$185,3,0))</f>
        <v>Hyundai County</v>
      </c>
      <c r="E738" s="36" t="str">
        <f>IF(ISNA(VLOOKUP(Tableau13[[#This Row],[Code]],'Code Véhicule'!$A$4:$D$185,4,0))," ",VLOOKUP(Tableau13[[#This Row],[Code]],'Code Véhicule'!$A$4:$D$185,4,0))</f>
        <v>22772-A-73</v>
      </c>
      <c r="F738" s="36">
        <v>24653</v>
      </c>
      <c r="G738" s="38" t="s">
        <v>545</v>
      </c>
      <c r="H738" s="38" t="s">
        <v>620</v>
      </c>
      <c r="I738" s="36" t="s">
        <v>304</v>
      </c>
      <c r="J738" s="39" t="s">
        <v>1476</v>
      </c>
      <c r="K738" s="36">
        <v>170261</v>
      </c>
      <c r="L738" s="40">
        <v>5700</v>
      </c>
      <c r="M738" s="40">
        <v>5700</v>
      </c>
      <c r="N738" s="41">
        <v>44481</v>
      </c>
      <c r="O738" s="45"/>
      <c r="P738" s="45"/>
      <c r="Q738" s="176" t="e">
        <f>MONTH([1]!Tableau13[[#This Row],[Date début]])</f>
        <v>#REF!</v>
      </c>
      <c r="R738" s="180" t="e">
        <f>YEAR([1]!Tableau13[[#This Row],[Date début]])</f>
        <v>#REF!</v>
      </c>
      <c r="S738" s="44"/>
      <c r="T738" s="44"/>
    </row>
    <row r="739" spans="1:20" s="75" customFormat="1" ht="30" customHeight="1">
      <c r="A739" s="35">
        <v>44469</v>
      </c>
      <c r="B739" s="36">
        <v>480</v>
      </c>
      <c r="C739" s="37" t="str">
        <f>IF(ISNA(VLOOKUP(Tableau13[[#This Row],[Code]],'Code Véhicule'!$A$4:$C$185,2,0)),"",VLOOKUP(Tableau13[[#This Row],[Code]],'Code Véhicule'!$A$4:$C$185,2,0))</f>
        <v>Camion</v>
      </c>
      <c r="D739" s="38" t="str">
        <f>IF(ISNA(VLOOKUP(Tableau13[[#This Row],[Code]],'Code Véhicule'!$A$4:$C$185,3,0)),"",VLOOKUP(Tableau13[[#This Row],[Code]],'Code Véhicule'!$A$4:$C$185,3,0))</f>
        <v>VOLVO</v>
      </c>
      <c r="E739" s="36" t="str">
        <f>IF(ISNA(VLOOKUP(Tableau13[[#This Row],[Code]],'Code Véhicule'!$A$4:$D$185,4,0))," ",VLOOKUP(Tableau13[[#This Row],[Code]],'Code Véhicule'!$A$4:$D$185,4,0))</f>
        <v>22299-A-73</v>
      </c>
      <c r="F739" s="36">
        <v>25695</v>
      </c>
      <c r="G739" s="38" t="s">
        <v>327</v>
      </c>
      <c r="H739" s="38" t="s">
        <v>1034</v>
      </c>
      <c r="I739" s="36" t="s">
        <v>304</v>
      </c>
      <c r="J739" s="39" t="s">
        <v>1340</v>
      </c>
      <c r="K739" s="36">
        <v>168974</v>
      </c>
      <c r="L739" s="40">
        <v>360</v>
      </c>
      <c r="M739" s="40">
        <v>360</v>
      </c>
      <c r="N739" s="41">
        <v>44469</v>
      </c>
      <c r="O739" s="45"/>
      <c r="P739" s="45"/>
      <c r="Q739" s="176" t="e">
        <f>MONTH([1]!Tableau13[[#This Row],[Date début]])</f>
        <v>#REF!</v>
      </c>
      <c r="R739" s="180" t="e">
        <f>YEAR([1]!Tableau13[[#This Row],[Date début]])</f>
        <v>#REF!</v>
      </c>
      <c r="S739" s="44"/>
      <c r="T739" s="44"/>
    </row>
    <row r="740" spans="1:20" s="75" customFormat="1" ht="45" customHeight="1">
      <c r="A740" s="35">
        <v>44470</v>
      </c>
      <c r="B740" s="36">
        <v>439</v>
      </c>
      <c r="C740" s="37" t="str">
        <f>IF(ISNA(VLOOKUP(Tableau13[[#This Row],[Code]],'Code Véhicule'!$A$4:$C$185,2,0)),"",VLOOKUP(Tableau13[[#This Row],[Code]],'Code Véhicule'!$A$4:$C$185,2,0))</f>
        <v>Semi remorque</v>
      </c>
      <c r="D740" s="38" t="str">
        <f>IF(ISNA(VLOOKUP(Tableau13[[#This Row],[Code]],'Code Véhicule'!$A$4:$C$185,3,0)),"",VLOOKUP(Tableau13[[#This Row],[Code]],'Code Véhicule'!$A$4:$C$185,3,0))</f>
        <v>VOLVO</v>
      </c>
      <c r="E740" s="36" t="str">
        <f>IF(ISNA(VLOOKUP(Tableau13[[#This Row],[Code]],'Code Véhicule'!$A$4:$D$185,4,0))," ",VLOOKUP(Tableau13[[#This Row],[Code]],'Code Véhicule'!$A$4:$D$185,4,0))</f>
        <v xml:space="preserve">17886-A-73 </v>
      </c>
      <c r="F740" s="36">
        <v>25696</v>
      </c>
      <c r="G740" s="38" t="s">
        <v>1341</v>
      </c>
      <c r="H740" s="38" t="s">
        <v>1034</v>
      </c>
      <c r="I740" s="36" t="s">
        <v>302</v>
      </c>
      <c r="J740" s="39" t="s">
        <v>1342</v>
      </c>
      <c r="K740" s="36" t="s">
        <v>1343</v>
      </c>
      <c r="L740" s="40">
        <v>570</v>
      </c>
      <c r="M740" s="40">
        <v>570</v>
      </c>
      <c r="N740" s="41">
        <v>44470</v>
      </c>
      <c r="O740" s="45"/>
      <c r="P740" s="45"/>
      <c r="Q740" s="176" t="e">
        <f>MONTH([1]!Tableau13[[#This Row],[Date début]])</f>
        <v>#REF!</v>
      </c>
      <c r="R740" s="180" t="e">
        <f>YEAR([1]!Tableau13[[#This Row],[Date début]])</f>
        <v>#REF!</v>
      </c>
      <c r="S740" s="44"/>
      <c r="T740" s="44"/>
    </row>
    <row r="741" spans="1:20" s="75" customFormat="1" ht="45" customHeight="1">
      <c r="A741" s="35">
        <v>44473</v>
      </c>
      <c r="B741" s="36">
        <v>410</v>
      </c>
      <c r="C741" s="37" t="str">
        <f>IF(ISNA(VLOOKUP(Tableau13[[#This Row],[Code]],'Code Véhicule'!$A$4:$C$185,2,0)),"",VLOOKUP(Tableau13[[#This Row],[Code]],'Code Véhicule'!$A$4:$C$185,2,0))</f>
        <v>Semi remorque</v>
      </c>
      <c r="D741" s="38" t="str">
        <f>IF(ISNA(VLOOKUP(Tableau13[[#This Row],[Code]],'Code Véhicule'!$A$4:$C$185,3,0)),"",VLOOKUP(Tableau13[[#This Row],[Code]],'Code Véhicule'!$A$4:$C$185,3,0))</f>
        <v>MAN</v>
      </c>
      <c r="E741" s="36" t="str">
        <f>IF(ISNA(VLOOKUP(Tableau13[[#This Row],[Code]],'Code Véhicule'!$A$4:$D$185,4,0))," ",VLOOKUP(Tableau13[[#This Row],[Code]],'Code Véhicule'!$A$4:$D$185,4,0))</f>
        <v xml:space="preserve">28659-D-1 </v>
      </c>
      <c r="F741" s="36">
        <v>25698</v>
      </c>
      <c r="G741" s="38" t="s">
        <v>393</v>
      </c>
      <c r="H741" s="38" t="s">
        <v>608</v>
      </c>
      <c r="I741" s="36" t="s">
        <v>302</v>
      </c>
      <c r="J741" s="39" t="s">
        <v>1346</v>
      </c>
      <c r="K741" s="36">
        <v>168984</v>
      </c>
      <c r="L741" s="40">
        <v>120</v>
      </c>
      <c r="M741" s="40">
        <v>120</v>
      </c>
      <c r="N741" s="41">
        <v>44473</v>
      </c>
      <c r="O741" s="45"/>
      <c r="P741" s="45"/>
      <c r="Q741" s="176" t="e">
        <f>MONTH([1]!Tableau13[[#This Row],[Date début]])</f>
        <v>#REF!</v>
      </c>
      <c r="R741" s="180" t="e">
        <f>YEAR([1]!Tableau13[[#This Row],[Date début]])</f>
        <v>#REF!</v>
      </c>
      <c r="S741" s="44"/>
      <c r="T741" s="44"/>
    </row>
    <row r="742" spans="1:20" s="75" customFormat="1" ht="60" customHeight="1">
      <c r="A742" s="35">
        <v>44474</v>
      </c>
      <c r="B742" s="36">
        <v>480</v>
      </c>
      <c r="C742" s="37" t="str">
        <f>IF(ISNA(VLOOKUP(Tableau13[[#This Row],[Code]],'Code Véhicule'!$A$4:$C$185,2,0)),"",VLOOKUP(Tableau13[[#This Row],[Code]],'Code Véhicule'!$A$4:$C$185,2,0))</f>
        <v>Camion</v>
      </c>
      <c r="D742" s="38" t="str">
        <f>IF(ISNA(VLOOKUP(Tableau13[[#This Row],[Code]],'Code Véhicule'!$A$4:$C$185,3,0)),"",VLOOKUP(Tableau13[[#This Row],[Code]],'Code Véhicule'!$A$4:$C$185,3,0))</f>
        <v>VOLVO</v>
      </c>
      <c r="E742" s="36" t="str">
        <f>IF(ISNA(VLOOKUP(Tableau13[[#This Row],[Code]],'Code Véhicule'!$A$4:$D$185,4,0))," ",VLOOKUP(Tableau13[[#This Row],[Code]],'Code Véhicule'!$A$4:$D$185,4,0))</f>
        <v>22299-A-73</v>
      </c>
      <c r="F742" s="36">
        <v>25699</v>
      </c>
      <c r="G742" s="38" t="s">
        <v>610</v>
      </c>
      <c r="H742" s="38" t="s">
        <v>1034</v>
      </c>
      <c r="I742" s="36" t="s">
        <v>304</v>
      </c>
      <c r="J742" s="39" t="s">
        <v>1347</v>
      </c>
      <c r="K742" s="36">
        <v>168988</v>
      </c>
      <c r="L742" s="40">
        <v>570</v>
      </c>
      <c r="M742" s="40">
        <v>570</v>
      </c>
      <c r="N742" s="41">
        <v>44474</v>
      </c>
      <c r="O742" s="45"/>
      <c r="P742" s="45"/>
      <c r="Q742" s="176" t="e">
        <f>MONTH([1]!Tableau13[[#This Row],[Date début]])</f>
        <v>#REF!</v>
      </c>
      <c r="R742" s="180" t="e">
        <f>YEAR([1]!Tableau13[[#This Row],[Date début]])</f>
        <v>#REF!</v>
      </c>
      <c r="S742" s="44"/>
      <c r="T742" s="44"/>
    </row>
    <row r="743" spans="1:20" s="75" customFormat="1" ht="30" customHeight="1">
      <c r="A743" s="35">
        <v>44475</v>
      </c>
      <c r="B743" s="36">
        <v>419</v>
      </c>
      <c r="C743" s="37" t="str">
        <f>IF(ISNA(VLOOKUP(Tableau13[[#This Row],[Code]],'Code Véhicule'!$A$4:$C$185,2,0)),"",VLOOKUP(Tableau13[[#This Row],[Code]],'Code Véhicule'!$A$4:$C$185,2,0))</f>
        <v>Voiture de fonction</v>
      </c>
      <c r="D743" s="38" t="str">
        <f>IF(ISNA(VLOOKUP(Tableau13[[#This Row],[Code]],'Code Véhicule'!$A$4:$C$185,3,0)),"",VLOOKUP(Tableau13[[#This Row],[Code]],'Code Véhicule'!$A$4:$C$185,3,0))</f>
        <v>kangoo</v>
      </c>
      <c r="E743" s="36" t="str">
        <f>IF(ISNA(VLOOKUP(Tableau13[[#This Row],[Code]],'Code Véhicule'!$A$4:$D$185,4,0))," ",VLOOKUP(Tableau13[[#This Row],[Code]],'Code Véhicule'!$A$4:$D$185,4,0))</f>
        <v>4812-A-73</v>
      </c>
      <c r="F743" s="36">
        <v>24651</v>
      </c>
      <c r="G743" s="38" t="s">
        <v>313</v>
      </c>
      <c r="H743" s="38" t="s">
        <v>846</v>
      </c>
      <c r="I743" s="36" t="s">
        <v>304</v>
      </c>
      <c r="J743" s="39" t="s">
        <v>1473</v>
      </c>
      <c r="K743" s="36" t="s">
        <v>1474</v>
      </c>
      <c r="L743" s="40">
        <v>1140</v>
      </c>
      <c r="M743" s="40">
        <v>1140</v>
      </c>
      <c r="N743" s="41">
        <v>44477</v>
      </c>
      <c r="O743" s="45"/>
      <c r="P743" s="45"/>
      <c r="Q743" s="176" t="e">
        <f>MONTH([1]!Tableau13[[#This Row],[Date début]])</f>
        <v>#REF!</v>
      </c>
      <c r="R743" s="180" t="e">
        <f>YEAR([1]!Tableau13[[#This Row],[Date début]])</f>
        <v>#REF!</v>
      </c>
      <c r="S743" s="44"/>
      <c r="T743" s="44"/>
    </row>
    <row r="744" spans="1:20" s="75" customFormat="1" ht="75">
      <c r="A744" s="35">
        <v>44476</v>
      </c>
      <c r="B744" s="36">
        <v>481</v>
      </c>
      <c r="C744" s="37" t="str">
        <f>IF(ISNA(VLOOKUP(Tableau13[[#This Row],[Code]],'Code Véhicule'!$A$4:$C$185,2,0)),"",VLOOKUP(Tableau13[[#This Row],[Code]],'Code Véhicule'!$A$4:$C$185,2,0))</f>
        <v>Camion</v>
      </c>
      <c r="D744" s="38" t="str">
        <f>IF(ISNA(VLOOKUP(Tableau13[[#This Row],[Code]],'Code Véhicule'!$A$4:$C$185,3,0)),"",VLOOKUP(Tableau13[[#This Row],[Code]],'Code Véhicule'!$A$4:$C$185,3,0))</f>
        <v>VOLVO</v>
      </c>
      <c r="E744" s="36" t="str">
        <f>IF(ISNA(VLOOKUP(Tableau13[[#This Row],[Code]],'Code Véhicule'!$A$4:$D$185,4,0))," ",VLOOKUP(Tableau13[[#This Row],[Code]],'Code Véhicule'!$A$4:$D$185,4,0))</f>
        <v>22300-A-73</v>
      </c>
      <c r="F744" s="36">
        <v>24656</v>
      </c>
      <c r="G744" s="38" t="s">
        <v>1478</v>
      </c>
      <c r="H744" s="38" t="s">
        <v>850</v>
      </c>
      <c r="I744" s="36" t="s">
        <v>304</v>
      </c>
      <c r="J744" s="39" t="s">
        <v>1479</v>
      </c>
      <c r="K744" s="36" t="s">
        <v>1480</v>
      </c>
      <c r="L744" s="40">
        <v>1710</v>
      </c>
      <c r="M744" s="40">
        <v>1710</v>
      </c>
      <c r="N744" s="41">
        <v>44478</v>
      </c>
      <c r="O744" s="45"/>
      <c r="P744" s="45"/>
      <c r="Q744" s="176" t="e">
        <f>MONTH([1]!Tableau13[[#This Row],[Date début]])</f>
        <v>#REF!</v>
      </c>
      <c r="R744" s="180" t="e">
        <f>YEAR([1]!Tableau13[[#This Row],[Date début]])</f>
        <v>#REF!</v>
      </c>
      <c r="S744" s="44"/>
      <c r="T744" s="44"/>
    </row>
    <row r="745" spans="1:20" s="75" customFormat="1" ht="23.25" customHeight="1">
      <c r="A745" s="35">
        <v>44477</v>
      </c>
      <c r="B745" s="36">
        <v>434</v>
      </c>
      <c r="C745" s="37" t="str">
        <f>IF(ISNA(VLOOKUP(Tableau13[[#This Row],[Code]],'Code Véhicule'!$A$4:$C$185,2,0)),"",VLOOKUP(Tableau13[[#This Row],[Code]],'Code Véhicule'!$A$4:$C$185,2,0))</f>
        <v>Chariot elevateur</v>
      </c>
      <c r="D745" s="38" t="str">
        <f>IF(ISNA(VLOOKUP(Tableau13[[#This Row],[Code]],'Code Véhicule'!$A$4:$C$185,3,0)),"",VLOOKUP(Tableau13[[#This Row],[Code]],'Code Véhicule'!$A$4:$C$185,3,0))</f>
        <v>Linde H30D</v>
      </c>
      <c r="E745" s="36" t="str">
        <f>IF(ISNA(VLOOKUP(Tableau13[[#This Row],[Code]],'Code Véhicule'!$A$4:$D$185,4,0))," ",VLOOKUP(Tableau13[[#This Row],[Code]],'Code Véhicule'!$A$4:$D$185,4,0))</f>
        <v>-</v>
      </c>
      <c r="F745" s="36">
        <v>24652</v>
      </c>
      <c r="G745" s="38" t="s">
        <v>774</v>
      </c>
      <c r="H745" s="38" t="s">
        <v>928</v>
      </c>
      <c r="I745" s="36" t="s">
        <v>304</v>
      </c>
      <c r="J745" s="39" t="s">
        <v>1475</v>
      </c>
      <c r="K745" s="36">
        <v>180</v>
      </c>
      <c r="L745" s="40">
        <v>180</v>
      </c>
      <c r="M745" s="40">
        <v>570</v>
      </c>
      <c r="N745" s="41">
        <v>44477</v>
      </c>
      <c r="O745" s="45"/>
      <c r="P745" s="45"/>
      <c r="Q745" s="176" t="e">
        <f>MONTH([1]!Tableau13[[#This Row],[Date début]])</f>
        <v>#REF!</v>
      </c>
      <c r="R745" s="180" t="e">
        <f>YEAR([1]!Tableau13[[#This Row],[Date début]])</f>
        <v>#REF!</v>
      </c>
      <c r="S745" s="44"/>
      <c r="T745" s="44"/>
    </row>
    <row r="746" spans="1:20" s="75" customFormat="1" ht="75" customHeight="1">
      <c r="A746" s="35">
        <v>44478</v>
      </c>
      <c r="B746" s="36">
        <v>431</v>
      </c>
      <c r="C746" s="37" t="str">
        <f>IF(ISNA(VLOOKUP(Tableau13[[#This Row],[Code]],'Code Véhicule'!$A$4:$C$185,2,0)),"",VLOOKUP(Tableau13[[#This Row],[Code]],'Code Véhicule'!$A$4:$C$185,2,0))</f>
        <v>Chariot elevateur</v>
      </c>
      <c r="D746" s="38" t="str">
        <f>IF(ISNA(VLOOKUP(Tableau13[[#This Row],[Code]],'Code Véhicule'!$A$4:$C$185,3,0)),"",VLOOKUP(Tableau13[[#This Row],[Code]],'Code Véhicule'!$A$4:$C$185,3,0))</f>
        <v>Manitou M26-2</v>
      </c>
      <c r="E746" s="36" t="str">
        <f>IF(ISNA(VLOOKUP(Tableau13[[#This Row],[Code]],'Code Véhicule'!$A$4:$D$185,4,0))," ",VLOOKUP(Tableau13[[#This Row],[Code]],'Code Véhicule'!$A$4:$D$185,4,0))</f>
        <v>-</v>
      </c>
      <c r="F746" s="36">
        <v>24657</v>
      </c>
      <c r="G746" s="38" t="s">
        <v>610</v>
      </c>
      <c r="H746" s="38" t="s">
        <v>737</v>
      </c>
      <c r="I746" s="36" t="s">
        <v>304</v>
      </c>
      <c r="J746" s="39" t="s">
        <v>1481</v>
      </c>
      <c r="K746" s="36">
        <v>170273</v>
      </c>
      <c r="L746" s="40">
        <v>570</v>
      </c>
      <c r="M746" s="40">
        <v>570</v>
      </c>
      <c r="N746" s="41">
        <v>44480</v>
      </c>
      <c r="O746" s="45"/>
      <c r="P746" s="45"/>
      <c r="Q746" s="176" t="e">
        <f>MONTH([1]!Tableau13[[#This Row],[Date début]])</f>
        <v>#REF!</v>
      </c>
      <c r="R746" s="180" t="e">
        <f>YEAR([1]!Tableau13[[#This Row],[Date début]])</f>
        <v>#REF!</v>
      </c>
      <c r="S746" s="44"/>
      <c r="T746" s="44"/>
    </row>
    <row r="747" spans="1:20" s="75" customFormat="1" ht="45" customHeight="1">
      <c r="A747" s="35">
        <v>44480</v>
      </c>
      <c r="B747" s="36">
        <v>407</v>
      </c>
      <c r="C747" s="37" t="str">
        <f>IF(ISNA(VLOOKUP(Tableau13[[#This Row],[Code]],'Code Véhicule'!$A$4:$C$185,2,0)),"",VLOOKUP(Tableau13[[#This Row],[Code]],'Code Véhicule'!$A$4:$C$185,2,0))</f>
        <v>Semi remorque</v>
      </c>
      <c r="D747" s="38" t="str">
        <f>IF(ISNA(VLOOKUP(Tableau13[[#This Row],[Code]],'Code Véhicule'!$A$4:$C$185,3,0)),"",VLOOKUP(Tableau13[[#This Row],[Code]],'Code Véhicule'!$A$4:$C$185,3,0))</f>
        <v>MAN</v>
      </c>
      <c r="E747" s="36" t="str">
        <f>IF(ISNA(VLOOKUP(Tableau13[[#This Row],[Code]],'Code Véhicule'!$A$4:$D$185,4,0))," ",VLOOKUP(Tableau13[[#This Row],[Code]],'Code Véhicule'!$A$4:$D$185,4,0))</f>
        <v>706-A-73</v>
      </c>
      <c r="F747" s="36">
        <v>24654</v>
      </c>
      <c r="G747" s="38" t="s">
        <v>537</v>
      </c>
      <c r="H747" s="38" t="s">
        <v>410</v>
      </c>
      <c r="I747" s="36" t="s">
        <v>304</v>
      </c>
      <c r="J747" s="36" t="s">
        <v>1477</v>
      </c>
      <c r="K747" s="36">
        <v>170263</v>
      </c>
      <c r="L747" s="40">
        <v>120</v>
      </c>
      <c r="M747" s="40">
        <v>120</v>
      </c>
      <c r="N747" s="41">
        <v>44480</v>
      </c>
      <c r="O747" s="45"/>
      <c r="P747" s="45"/>
      <c r="Q747" s="176" t="e">
        <f>MONTH([1]!Tableau13[[#This Row],[Date début]])</f>
        <v>#REF!</v>
      </c>
      <c r="R747" s="180" t="e">
        <f>YEAR([1]!Tableau13[[#This Row],[Date début]])</f>
        <v>#REF!</v>
      </c>
      <c r="S747" s="44"/>
      <c r="T747" s="44"/>
    </row>
    <row r="748" spans="1:20" s="75" customFormat="1" ht="23.25">
      <c r="A748" s="35">
        <v>44480</v>
      </c>
      <c r="B748" s="36">
        <v>479</v>
      </c>
      <c r="C748" s="37" t="str">
        <f>IF(ISNA(VLOOKUP(Tableau13[[#This Row],[Code]],'Code Véhicule'!$A$4:$C$185,2,0)),"",VLOOKUP(Tableau13[[#This Row],[Code]],'Code Véhicule'!$A$4:$C$185,2,0))</f>
        <v>Bus de transport</v>
      </c>
      <c r="D748" s="38" t="str">
        <f>IF(ISNA(VLOOKUP(Tableau13[[#This Row],[Code]],'Code Véhicule'!$A$4:$C$185,3,0)),"",VLOOKUP(Tableau13[[#This Row],[Code]],'Code Véhicule'!$A$4:$C$185,3,0))</f>
        <v>Hyundai County</v>
      </c>
      <c r="E748" s="36" t="str">
        <f>IF(ISNA(VLOOKUP(Tableau13[[#This Row],[Code]],'Code Véhicule'!$A$4:$D$185,4,0))," ",VLOOKUP(Tableau13[[#This Row],[Code]],'Code Véhicule'!$A$4:$D$185,4,0))</f>
        <v>22772-A-73</v>
      </c>
      <c r="F748" s="36">
        <v>24658</v>
      </c>
      <c r="G748" s="38" t="s">
        <v>560</v>
      </c>
      <c r="H748" s="38" t="s">
        <v>604</v>
      </c>
      <c r="I748" s="36" t="s">
        <v>304</v>
      </c>
      <c r="J748" s="39" t="s">
        <v>1482</v>
      </c>
      <c r="K748" s="36">
        <v>1170264</v>
      </c>
      <c r="L748" s="40">
        <v>120</v>
      </c>
      <c r="M748" s="40">
        <v>120</v>
      </c>
      <c r="N748" s="41">
        <v>44480</v>
      </c>
      <c r="O748" s="45"/>
      <c r="P748" s="45"/>
      <c r="Q748" s="176" t="e">
        <f>MONTH([1]!Tableau13[[#This Row],[Date début]])</f>
        <v>#REF!</v>
      </c>
      <c r="R748" s="180" t="e">
        <f>YEAR([1]!Tableau13[[#This Row],[Date début]])</f>
        <v>#REF!</v>
      </c>
      <c r="S748" s="44"/>
      <c r="T748" s="44"/>
    </row>
    <row r="749" spans="1:20" s="75" customFormat="1" ht="23.25" customHeight="1">
      <c r="A749" s="35">
        <v>44480</v>
      </c>
      <c r="B749" s="36">
        <v>427</v>
      </c>
      <c r="C749" s="37" t="str">
        <f>IF(ISNA(VLOOKUP(Tableau13[[#This Row],[Code]],'Code Véhicule'!$A$4:$C$185,2,0)),"",VLOOKUP(Tableau13[[#This Row],[Code]],'Code Véhicule'!$A$4:$C$185,2,0))</f>
        <v>Chariot elevateur</v>
      </c>
      <c r="D749" s="38" t="str">
        <f>IF(ISNA(VLOOKUP(Tableau13[[#This Row],[Code]],'Code Véhicule'!$A$4:$C$185,3,0)),"",VLOOKUP(Tableau13[[#This Row],[Code]],'Code Véhicule'!$A$4:$C$185,3,0))</f>
        <v>Linde H30</v>
      </c>
      <c r="E749" s="36" t="str">
        <f>IF(ISNA(VLOOKUP(Tableau13[[#This Row],[Code]],'Code Véhicule'!$A$4:$D$185,4,0))," ",VLOOKUP(Tableau13[[#This Row],[Code]],'Code Véhicule'!$A$4:$D$185,4,0))</f>
        <v>-</v>
      </c>
      <c r="F749" s="36">
        <v>24659</v>
      </c>
      <c r="G749" s="38" t="s">
        <v>393</v>
      </c>
      <c r="H749" s="38" t="s">
        <v>613</v>
      </c>
      <c r="I749" s="36" t="s">
        <v>304</v>
      </c>
      <c r="J749" s="39" t="s">
        <v>1483</v>
      </c>
      <c r="K749" s="36">
        <v>170268</v>
      </c>
      <c r="L749" s="40">
        <v>120</v>
      </c>
      <c r="M749" s="40">
        <v>120</v>
      </c>
      <c r="N749" s="41">
        <v>44480</v>
      </c>
      <c r="O749" s="45"/>
      <c r="P749" s="45"/>
      <c r="Q749" s="176" t="e">
        <f>MONTH([1]!Tableau13[[#This Row],[Date début]])</f>
        <v>#REF!</v>
      </c>
      <c r="R749" s="180" t="e">
        <f>YEAR([1]!Tableau13[[#This Row],[Date début]])</f>
        <v>#REF!</v>
      </c>
      <c r="S749" s="44"/>
      <c r="T749" s="44"/>
    </row>
    <row r="750" spans="1:20" s="75" customFormat="1" ht="23.25" customHeight="1">
      <c r="A750" s="35">
        <v>44480</v>
      </c>
      <c r="B750" s="36">
        <v>430</v>
      </c>
      <c r="C750" s="37" t="str">
        <f>IF(ISNA(VLOOKUP(Tableau13[[#This Row],[Code]],'Code Véhicule'!$A$4:$C$185,2,0)),"",VLOOKUP(Tableau13[[#This Row],[Code]],'Code Véhicule'!$A$4:$C$185,2,0))</f>
        <v>Chariot elevateur</v>
      </c>
      <c r="D750" s="38" t="str">
        <f>IF(ISNA(VLOOKUP(Tableau13[[#This Row],[Code]],'Code Véhicule'!$A$4:$C$185,3,0)),"",VLOOKUP(Tableau13[[#This Row],[Code]],'Code Véhicule'!$A$4:$C$185,3,0))</f>
        <v>Fenwick  H40</v>
      </c>
      <c r="E750" s="36" t="str">
        <f>IF(ISNA(VLOOKUP(Tableau13[[#This Row],[Code]],'Code Véhicule'!$A$4:$D$185,4,0))," ",VLOOKUP(Tableau13[[#This Row],[Code]],'Code Véhicule'!$A$4:$D$185,4,0))</f>
        <v>-</v>
      </c>
      <c r="F750" s="36">
        <v>24660</v>
      </c>
      <c r="G750" s="38" t="s">
        <v>493</v>
      </c>
      <c r="H750" s="38" t="s">
        <v>1484</v>
      </c>
      <c r="I750" s="36" t="s">
        <v>304</v>
      </c>
      <c r="J750" s="39" t="s">
        <v>1485</v>
      </c>
      <c r="K750" s="36">
        <v>170267</v>
      </c>
      <c r="L750" s="40">
        <v>360</v>
      </c>
      <c r="M750" s="40">
        <v>360</v>
      </c>
      <c r="N750" s="41">
        <v>44480</v>
      </c>
      <c r="O750" s="45"/>
      <c r="P750" s="45"/>
      <c r="Q750" s="176" t="e">
        <f>MONTH([1]!Tableau13[[#This Row],[Date début]])</f>
        <v>#REF!</v>
      </c>
      <c r="R750" s="180" t="e">
        <f>YEAR([1]!Tableau13[[#This Row],[Date début]])</f>
        <v>#REF!</v>
      </c>
      <c r="S750" s="44"/>
      <c r="T750" s="44"/>
    </row>
    <row r="751" spans="1:20" s="75" customFormat="1" ht="30" customHeight="1">
      <c r="A751" s="35">
        <v>44480</v>
      </c>
      <c r="B751" s="36">
        <v>413</v>
      </c>
      <c r="C751" s="37" t="str">
        <f>IF(ISNA(VLOOKUP(Tableau13[[#This Row],[Code]],'Code Véhicule'!$A$4:$C$185,2,0)),"",VLOOKUP(Tableau13[[#This Row],[Code]],'Code Véhicule'!$A$4:$C$185,2,0))</f>
        <v>Chargeur</v>
      </c>
      <c r="D751" s="38" t="str">
        <f>IF(ISNA(VLOOKUP(Tableau13[[#This Row],[Code]],'Code Véhicule'!$A$4:$C$185,3,0)),"",VLOOKUP(Tableau13[[#This Row],[Code]],'Code Véhicule'!$A$4:$C$185,3,0))</f>
        <v>Caterpillar</v>
      </c>
      <c r="E751" s="36" t="str">
        <f>IF(ISNA(VLOOKUP(Tableau13[[#This Row],[Code]],'Code Véhicule'!$A$4:$D$185,4,0))," ",VLOOKUP(Tableau13[[#This Row],[Code]],'Code Véhicule'!$A$4:$D$185,4,0))</f>
        <v>-</v>
      </c>
      <c r="F751" s="36">
        <v>24661</v>
      </c>
      <c r="G751" s="38" t="s">
        <v>511</v>
      </c>
      <c r="H751" s="38" t="s">
        <v>1151</v>
      </c>
      <c r="I751" s="36" t="s">
        <v>304</v>
      </c>
      <c r="J751" s="39" t="s">
        <v>1486</v>
      </c>
      <c r="K751" s="36" t="s">
        <v>1487</v>
      </c>
      <c r="L751" s="40">
        <v>2280</v>
      </c>
      <c r="M751" s="40">
        <v>3990</v>
      </c>
      <c r="N751" s="41">
        <v>44487</v>
      </c>
      <c r="O751" s="45"/>
      <c r="P751" s="45"/>
      <c r="Q751" s="176" t="e">
        <f>MONTH([1]!Tableau13[[#This Row],[Date début]])</f>
        <v>#REF!</v>
      </c>
      <c r="R751" s="180" t="e">
        <f>YEAR([1]!Tableau13[[#This Row],[Date début]])</f>
        <v>#REF!</v>
      </c>
      <c r="S751" s="44"/>
      <c r="T751" s="44"/>
    </row>
    <row r="752" spans="1:20" s="75" customFormat="1" ht="90" customHeight="1">
      <c r="A752" s="35">
        <v>44481</v>
      </c>
      <c r="B752" s="36">
        <v>411</v>
      </c>
      <c r="C752" s="37" t="str">
        <f>IF(ISNA(VLOOKUP(Tableau13[[#This Row],[Code]],'Code Véhicule'!$A$4:$C$185,2,0)),"",VLOOKUP(Tableau13[[#This Row],[Code]],'Code Véhicule'!$A$4:$C$185,2,0))</f>
        <v>Camion</v>
      </c>
      <c r="D752" s="38" t="str">
        <f>IF(ISNA(VLOOKUP(Tableau13[[#This Row],[Code]],'Code Véhicule'!$A$4:$C$185,3,0)),"",VLOOKUP(Tableau13[[#This Row],[Code]],'Code Véhicule'!$A$4:$C$185,3,0))</f>
        <v>Renault</v>
      </c>
      <c r="E752" s="36" t="str">
        <f>IF(ISNA(VLOOKUP(Tableau13[[#This Row],[Code]],'Code Véhicule'!$A$4:$D$185,4,0))," ",VLOOKUP(Tableau13[[#This Row],[Code]],'Code Véhicule'!$A$4:$D$185,4,0))</f>
        <v>25636-A-13</v>
      </c>
      <c r="F752" s="36">
        <v>24662</v>
      </c>
      <c r="G752" s="38" t="s">
        <v>493</v>
      </c>
      <c r="H752" s="38" t="s">
        <v>1488</v>
      </c>
      <c r="I752" s="36" t="s">
        <v>304</v>
      </c>
      <c r="J752" s="39" t="s">
        <v>1489</v>
      </c>
      <c r="K752" s="36">
        <v>170263</v>
      </c>
      <c r="L752" s="40">
        <v>240</v>
      </c>
      <c r="M752" s="40">
        <v>240</v>
      </c>
      <c r="N752" s="41">
        <v>44481</v>
      </c>
      <c r="O752" s="45"/>
      <c r="P752" s="45"/>
      <c r="Q752" s="176" t="e">
        <f>MONTH([1]!Tableau13[[#This Row],[Date début]])</f>
        <v>#REF!</v>
      </c>
      <c r="R752" s="180" t="e">
        <f>YEAR([1]!Tableau13[[#This Row],[Date début]])</f>
        <v>#REF!</v>
      </c>
      <c r="S752" s="44"/>
      <c r="T752" s="44"/>
    </row>
    <row r="753" spans="1:20" s="75" customFormat="1" ht="23.25" customHeight="1">
      <c r="A753" s="35">
        <v>44481</v>
      </c>
      <c r="B753" s="36"/>
      <c r="C753" s="37" t="s">
        <v>472</v>
      </c>
      <c r="D753" s="38" t="str">
        <f>IF(ISNA(VLOOKUP(Tableau13[[#This Row],[Code]],'Code Véhicule'!$A$4:$C$185,3,0)),"",VLOOKUP(Tableau13[[#This Row],[Code]],'Code Véhicule'!$A$4:$C$185,3,0))</f>
        <v/>
      </c>
      <c r="E753" s="36" t="str">
        <f>IF(ISNA(VLOOKUP(Tableau13[[#This Row],[Code]],'Code Véhicule'!$A$4:$D$185,4,0))," ",VLOOKUP(Tableau13[[#This Row],[Code]],'Code Véhicule'!$A$4:$D$185,4,0))</f>
        <v xml:space="preserve"> </v>
      </c>
      <c r="F753" s="36">
        <v>24663</v>
      </c>
      <c r="G753" s="38" t="s">
        <v>511</v>
      </c>
      <c r="H753" s="38" t="s">
        <v>672</v>
      </c>
      <c r="I753" s="36" t="s">
        <v>304</v>
      </c>
      <c r="J753" s="39" t="s">
        <v>1490</v>
      </c>
      <c r="K753" s="36">
        <v>170271</v>
      </c>
      <c r="L753" s="40">
        <v>60</v>
      </c>
      <c r="M753" s="40">
        <v>60</v>
      </c>
      <c r="N753" s="41">
        <v>44481</v>
      </c>
      <c r="O753" s="45"/>
      <c r="P753" s="45"/>
      <c r="Q753" s="176" t="e">
        <f>MONTH([1]!Tableau13[[#This Row],[Date début]])</f>
        <v>#REF!</v>
      </c>
      <c r="R753" s="180" t="e">
        <f>YEAR([1]!Tableau13[[#This Row],[Date début]])</f>
        <v>#REF!</v>
      </c>
      <c r="S753" s="44"/>
      <c r="T753" s="44"/>
    </row>
    <row r="754" spans="1:20" s="75" customFormat="1" ht="45" customHeight="1">
      <c r="A754" s="35">
        <v>44481</v>
      </c>
      <c r="B754" s="36">
        <v>439</v>
      </c>
      <c r="C754" s="37" t="str">
        <f>IF(ISNA(VLOOKUP(Tableau13[[#This Row],[Code]],'Code Véhicule'!$A$4:$C$185,2,0)),"",VLOOKUP(Tableau13[[#This Row],[Code]],'Code Véhicule'!$A$4:$C$185,2,0))</f>
        <v>Semi remorque</v>
      </c>
      <c r="D754" s="38" t="str">
        <f>IF(ISNA(VLOOKUP(Tableau13[[#This Row],[Code]],'Code Véhicule'!$A$4:$C$185,3,0)),"",VLOOKUP(Tableau13[[#This Row],[Code]],'Code Véhicule'!$A$4:$C$185,3,0))</f>
        <v>VOLVO</v>
      </c>
      <c r="E754" s="36" t="str">
        <f>IF(ISNA(VLOOKUP(Tableau13[[#This Row],[Code]],'Code Véhicule'!$A$4:$D$185,4,0))," ",VLOOKUP(Tableau13[[#This Row],[Code]],'Code Véhicule'!$A$4:$D$185,4,0))</f>
        <v xml:space="preserve">17886-A-73 </v>
      </c>
      <c r="F754" s="36">
        <v>24665</v>
      </c>
      <c r="G754" s="38" t="s">
        <v>560</v>
      </c>
      <c r="H754" s="38" t="s">
        <v>604</v>
      </c>
      <c r="I754" s="36" t="s">
        <v>304</v>
      </c>
      <c r="J754" s="39" t="s">
        <v>340</v>
      </c>
      <c r="K754" s="36">
        <v>170272</v>
      </c>
      <c r="L754" s="40"/>
      <c r="M754" s="40">
        <f>IF(ISBLANK(Tableau13[[#This Row],[N BS]]),"",(Tableau13[[#This Row],[N BS]]-Tableau13[[#This Row],[Date début]]))</f>
        <v>125791</v>
      </c>
      <c r="N754" s="41"/>
      <c r="O754" s="45"/>
      <c r="P754" s="45"/>
      <c r="Q754" s="176" t="e">
        <f>MONTH([1]!Tableau13[[#This Row],[Date début]])</f>
        <v>#REF!</v>
      </c>
      <c r="R754" s="180" t="e">
        <f>YEAR([1]!Tableau13[[#This Row],[Date début]])</f>
        <v>#REF!</v>
      </c>
      <c r="S754" s="44"/>
      <c r="T754" s="44"/>
    </row>
    <row r="755" spans="1:20" s="75" customFormat="1" ht="23.25" customHeight="1">
      <c r="A755" s="35">
        <v>44484</v>
      </c>
      <c r="B755" s="36">
        <v>433</v>
      </c>
      <c r="C755" s="37" t="str">
        <f>IF(ISNA(VLOOKUP(Tableau13[[#This Row],[Code]],'Code Véhicule'!$A$4:$C$185,2,0)),"",VLOOKUP(Tableau13[[#This Row],[Code]],'Code Véhicule'!$A$4:$C$185,2,0))</f>
        <v>Voiture de fonction</v>
      </c>
      <c r="D755" s="38" t="str">
        <f>IF(ISNA(VLOOKUP(Tableau13[[#This Row],[Code]],'Code Véhicule'!$A$4:$C$185,3,0)),"",VLOOKUP(Tableau13[[#This Row],[Code]],'Code Véhicule'!$A$4:$C$185,3,0))</f>
        <v>Berlingo</v>
      </c>
      <c r="E755" s="36" t="str">
        <f>IF(ISNA(VLOOKUP(Tableau13[[#This Row],[Code]],'Code Véhicule'!$A$4:$D$185,4,0))," ",VLOOKUP(Tableau13[[#This Row],[Code]],'Code Véhicule'!$A$4:$D$185,4,0))</f>
        <v>10551-A-73</v>
      </c>
      <c r="F755" s="36">
        <v>24664</v>
      </c>
      <c r="G755" s="38" t="s">
        <v>1534</v>
      </c>
      <c r="H755" s="38" t="s">
        <v>1245</v>
      </c>
      <c r="I755" s="36" t="s">
        <v>304</v>
      </c>
      <c r="J755" s="39" t="s">
        <v>1491</v>
      </c>
      <c r="K755" s="36"/>
      <c r="L755" s="40"/>
      <c r="M755" s="40" t="str">
        <f>IF(ISBLANK(Tableau13[[#This Row],[N BS]]),"",(Tableau13[[#This Row],[N BS]]-Tableau13[[#This Row],[Date début]]))</f>
        <v/>
      </c>
      <c r="N755" s="41"/>
      <c r="O755" s="45"/>
      <c r="P755" s="45"/>
      <c r="Q755" s="176" t="e">
        <f>MONTH([1]!Tableau13[[#This Row],[Date début]])</f>
        <v>#REF!</v>
      </c>
      <c r="R755" s="180" t="e">
        <f>YEAR([1]!Tableau13[[#This Row],[Date début]])</f>
        <v>#REF!</v>
      </c>
      <c r="S755" s="44"/>
      <c r="T755" s="44"/>
    </row>
    <row r="756" spans="1:20" s="75" customFormat="1" ht="23.25" customHeight="1">
      <c r="A756" s="35">
        <v>44484</v>
      </c>
      <c r="B756" s="36">
        <v>401</v>
      </c>
      <c r="C756" s="37" t="str">
        <f>IF(ISNA(VLOOKUP(Tableau13[[#This Row],[Code]],'Code Véhicule'!$A$4:$C$185,2,0)),"",VLOOKUP(Tableau13[[#This Row],[Code]],'Code Véhicule'!$A$4:$C$185,2,0))</f>
        <v>Camion</v>
      </c>
      <c r="D756" s="38" t="str">
        <f>IF(ISNA(VLOOKUP(Tableau13[[#This Row],[Code]],'Code Véhicule'!$A$4:$C$185,3,0)),"",VLOOKUP(Tableau13[[#This Row],[Code]],'Code Véhicule'!$A$4:$C$185,3,0))</f>
        <v>ISUZU</v>
      </c>
      <c r="E756" s="36" t="str">
        <f>IF(ISNA(VLOOKUP(Tableau13[[#This Row],[Code]],'Code Véhicule'!$A$4:$D$185,4,0))," ",VLOOKUP(Tableau13[[#This Row],[Code]],'Code Véhicule'!$A$4:$D$185,4,0))</f>
        <v>26128-A-8</v>
      </c>
      <c r="F756" s="36">
        <v>24666</v>
      </c>
      <c r="G756" s="38" t="s">
        <v>560</v>
      </c>
      <c r="H756" s="38" t="s">
        <v>604</v>
      </c>
      <c r="I756" s="36" t="s">
        <v>304</v>
      </c>
      <c r="J756" s="39" t="s">
        <v>1492</v>
      </c>
      <c r="K756" s="36">
        <v>170277</v>
      </c>
      <c r="L756" s="40">
        <v>60</v>
      </c>
      <c r="M756" s="40">
        <v>6</v>
      </c>
      <c r="N756" s="41">
        <v>44484</v>
      </c>
      <c r="O756" s="45"/>
      <c r="P756" s="45"/>
      <c r="Q756" s="176" t="e">
        <f>MONTH([1]!Tableau13[[#This Row],[Date début]])</f>
        <v>#REF!</v>
      </c>
      <c r="R756" s="180" t="e">
        <f>YEAR([1]!Tableau13[[#This Row],[Date début]])</f>
        <v>#REF!</v>
      </c>
      <c r="S756" s="44"/>
      <c r="T756" s="44"/>
    </row>
    <row r="757" spans="1:20" s="75" customFormat="1" ht="23.25" customHeight="1">
      <c r="A757" s="35">
        <v>44484</v>
      </c>
      <c r="B757" s="36">
        <v>438</v>
      </c>
      <c r="C757" s="37" t="str">
        <f>IF(ISNA(VLOOKUP(Tableau13[[#This Row],[Code]],'Code Véhicule'!$A$4:$C$185,2,0)),"",VLOOKUP(Tableau13[[#This Row],[Code]],'Code Véhicule'!$A$4:$C$185,2,0))</f>
        <v>Semi remorque</v>
      </c>
      <c r="D757" s="38" t="str">
        <f>IF(ISNA(VLOOKUP(Tableau13[[#This Row],[Code]],'Code Véhicule'!$A$4:$C$185,3,0)),"",VLOOKUP(Tableau13[[#This Row],[Code]],'Code Véhicule'!$A$4:$C$185,3,0))</f>
        <v>VOLVO</v>
      </c>
      <c r="E757" s="36" t="str">
        <f>IF(ISNA(VLOOKUP(Tableau13[[#This Row],[Code]],'Code Véhicule'!$A$4:$D$185,4,0))," ",VLOOKUP(Tableau13[[#This Row],[Code]],'Code Véhicule'!$A$4:$D$185,4,0))</f>
        <v xml:space="preserve">17885-A-73 </v>
      </c>
      <c r="F757" s="36">
        <v>24668</v>
      </c>
      <c r="G757" s="38" t="s">
        <v>560</v>
      </c>
      <c r="H757" s="38" t="s">
        <v>604</v>
      </c>
      <c r="I757" s="36" t="s">
        <v>304</v>
      </c>
      <c r="J757" s="39" t="s">
        <v>1493</v>
      </c>
      <c r="K757" s="36">
        <v>170280</v>
      </c>
      <c r="L757" s="40">
        <v>60</v>
      </c>
      <c r="M757" s="40">
        <v>60</v>
      </c>
      <c r="N757" s="41">
        <v>44484</v>
      </c>
      <c r="O757" s="45"/>
      <c r="P757" s="45"/>
      <c r="Q757" s="176" t="e">
        <f>MONTH([1]!Tableau13[[#This Row],[Date début]])</f>
        <v>#REF!</v>
      </c>
      <c r="R757" s="180" t="e">
        <f>YEAR([1]!Tableau13[[#This Row],[Date début]])</f>
        <v>#REF!</v>
      </c>
      <c r="S757" s="44"/>
      <c r="T757" s="44"/>
    </row>
    <row r="758" spans="1:20" s="75" customFormat="1" ht="23.25" customHeight="1">
      <c r="A758" s="35">
        <v>44484</v>
      </c>
      <c r="B758" s="36">
        <v>434</v>
      </c>
      <c r="C758" s="37" t="str">
        <f>IF(ISNA(VLOOKUP(Tableau13[[#This Row],[Code]],'Code Véhicule'!$A$4:$C$185,2,0)),"",VLOOKUP(Tableau13[[#This Row],[Code]],'Code Véhicule'!$A$4:$C$185,2,0))</f>
        <v>Chariot elevateur</v>
      </c>
      <c r="D758" s="38" t="str">
        <f>IF(ISNA(VLOOKUP(Tableau13[[#This Row],[Code]],'Code Véhicule'!$A$4:$C$185,3,0)),"",VLOOKUP(Tableau13[[#This Row],[Code]],'Code Véhicule'!$A$4:$C$185,3,0))</f>
        <v>Linde H30D</v>
      </c>
      <c r="E758" s="36" t="str">
        <f>IF(ISNA(VLOOKUP(Tableau13[[#This Row],[Code]],'Code Véhicule'!$A$4:$D$185,4,0))," ",VLOOKUP(Tableau13[[#This Row],[Code]],'Code Véhicule'!$A$4:$D$185,4,0))</f>
        <v>-</v>
      </c>
      <c r="F758" s="36">
        <v>24669</v>
      </c>
      <c r="G758" s="38" t="s">
        <v>511</v>
      </c>
      <c r="H758" s="38" t="s">
        <v>1494</v>
      </c>
      <c r="I758" s="36" t="s">
        <v>304</v>
      </c>
      <c r="J758" s="39" t="s">
        <v>1475</v>
      </c>
      <c r="K758" s="36">
        <v>170281</v>
      </c>
      <c r="L758" s="40">
        <v>60</v>
      </c>
      <c r="M758" s="40">
        <v>60</v>
      </c>
      <c r="N758" s="41">
        <v>44484</v>
      </c>
      <c r="O758" s="45"/>
      <c r="P758" s="45"/>
      <c r="Q758" s="176" t="e">
        <f>MONTH([1]!Tableau13[[#This Row],[Date début]])</f>
        <v>#REF!</v>
      </c>
      <c r="R758" s="180" t="e">
        <f>YEAR([1]!Tableau13[[#This Row],[Date début]])</f>
        <v>#REF!</v>
      </c>
      <c r="S758" s="44"/>
      <c r="T758" s="44"/>
    </row>
    <row r="759" spans="1:20" s="75" customFormat="1" ht="30" customHeight="1">
      <c r="A759" s="35">
        <v>44484</v>
      </c>
      <c r="B759" s="36">
        <v>482</v>
      </c>
      <c r="C759" s="37" t="str">
        <f>IF(ISNA(VLOOKUP(Tableau13[[#This Row],[Code]],'Code Véhicule'!$A$4:$C$185,2,0)),"",VLOOKUP(Tableau13[[#This Row],[Code]],'Code Véhicule'!$A$4:$C$185,2,0))</f>
        <v>Pick up</v>
      </c>
      <c r="D759" s="38" t="str">
        <f>IF(ISNA(VLOOKUP(Tableau13[[#This Row],[Code]],'Code Véhicule'!$A$4:$C$185,3,0)),"",VLOOKUP(Tableau13[[#This Row],[Code]],'Code Véhicule'!$A$4:$C$185,3,0))</f>
        <v>HYUNDAI H100</v>
      </c>
      <c r="E759" s="36" t="str">
        <f>IF(ISNA(VLOOKUP(Tableau13[[#This Row],[Code]],'Code Véhicule'!$A$4:$D$185,4,0))," ",VLOOKUP(Tableau13[[#This Row],[Code]],'Code Véhicule'!$A$4:$D$185,4,0))</f>
        <v>22368-A-73</v>
      </c>
      <c r="F759" s="36">
        <v>24670</v>
      </c>
      <c r="G759" s="38" t="s">
        <v>393</v>
      </c>
      <c r="H759" s="38" t="s">
        <v>608</v>
      </c>
      <c r="I759" s="36" t="s">
        <v>304</v>
      </c>
      <c r="J759" s="39" t="s">
        <v>1495</v>
      </c>
      <c r="K759" s="36">
        <v>170284</v>
      </c>
      <c r="L759" s="40">
        <v>120</v>
      </c>
      <c r="M759" s="40">
        <v>120</v>
      </c>
      <c r="N759" s="41">
        <v>44484</v>
      </c>
      <c r="O759" s="45"/>
      <c r="P759" s="45"/>
      <c r="Q759" s="176" t="e">
        <f>MONTH([1]!Tableau13[[#This Row],[Date début]])</f>
        <v>#REF!</v>
      </c>
      <c r="R759" s="180" t="e">
        <f>YEAR([1]!Tableau13[[#This Row],[Date début]])</f>
        <v>#REF!</v>
      </c>
      <c r="S759" s="44"/>
      <c r="T759" s="44"/>
    </row>
    <row r="760" spans="1:20" s="75" customFormat="1" ht="45" customHeight="1">
      <c r="A760" s="35">
        <v>44484</v>
      </c>
      <c r="B760" s="36">
        <v>481</v>
      </c>
      <c r="C760" s="37" t="str">
        <f>IF(ISNA(VLOOKUP(Tableau13[[#This Row],[Code]],'Code Véhicule'!$A$4:$C$185,2,0)),"",VLOOKUP(Tableau13[[#This Row],[Code]],'Code Véhicule'!$A$4:$C$185,2,0))</f>
        <v>Camion</v>
      </c>
      <c r="D760" s="38" t="str">
        <f>IF(ISNA(VLOOKUP(Tableau13[[#This Row],[Code]],'Code Véhicule'!$A$4:$C$185,3,0)),"",VLOOKUP(Tableau13[[#This Row],[Code]],'Code Véhicule'!$A$4:$C$185,3,0))</f>
        <v>VOLVO</v>
      </c>
      <c r="E760" s="36" t="str">
        <f>IF(ISNA(VLOOKUP(Tableau13[[#This Row],[Code]],'Code Véhicule'!$A$4:$D$185,4,0))," ",VLOOKUP(Tableau13[[#This Row],[Code]],'Code Véhicule'!$A$4:$D$185,4,0))</f>
        <v>22300-A-73</v>
      </c>
      <c r="F760" s="36">
        <v>24671</v>
      </c>
      <c r="G760" s="38" t="s">
        <v>393</v>
      </c>
      <c r="H760" s="38" t="s">
        <v>608</v>
      </c>
      <c r="I760" s="36" t="s">
        <v>304</v>
      </c>
      <c r="J760" s="39" t="s">
        <v>1496</v>
      </c>
      <c r="K760" s="36" t="s">
        <v>1497</v>
      </c>
      <c r="L760" s="40">
        <v>180</v>
      </c>
      <c r="M760" s="40">
        <v>180</v>
      </c>
      <c r="N760" s="41">
        <v>44484</v>
      </c>
      <c r="O760" s="45"/>
      <c r="P760" s="45"/>
      <c r="Q760" s="176" t="e">
        <f>MONTH([1]!Tableau13[[#This Row],[Date début]])</f>
        <v>#REF!</v>
      </c>
      <c r="R760" s="180" t="e">
        <f>YEAR([1]!Tableau13[[#This Row],[Date début]])</f>
        <v>#REF!</v>
      </c>
      <c r="S760" s="44"/>
      <c r="T760" s="44"/>
    </row>
    <row r="761" spans="1:20" s="75" customFormat="1" ht="45" customHeight="1">
      <c r="A761" s="35">
        <v>44490</v>
      </c>
      <c r="B761" s="36">
        <v>435</v>
      </c>
      <c r="C761" s="37" t="str">
        <f>IF(ISNA(VLOOKUP(Tableau13[[#This Row],[Code]],'Code Véhicule'!$A$4:$C$185,2,0)),"",VLOOKUP(Tableau13[[#This Row],[Code]],'Code Véhicule'!$A$4:$C$185,2,0))</f>
        <v>Camion</v>
      </c>
      <c r="D761" s="38" t="str">
        <f>IF(ISNA(VLOOKUP(Tableau13[[#This Row],[Code]],'Code Véhicule'!$A$4:$C$185,3,0)),"",VLOOKUP(Tableau13[[#This Row],[Code]],'Code Véhicule'!$A$4:$C$185,3,0))</f>
        <v>Mitsubishi</v>
      </c>
      <c r="E761" s="36" t="str">
        <f>IF(ISNA(VLOOKUP(Tableau13[[#This Row],[Code]],'Code Véhicule'!$A$4:$D$185,4,0))," ",VLOOKUP(Tableau13[[#This Row],[Code]],'Code Véhicule'!$A$4:$D$185,4,0))</f>
        <v xml:space="preserve"> 11469-A-73</v>
      </c>
      <c r="F761" s="36">
        <v>24672</v>
      </c>
      <c r="G761" s="38" t="s">
        <v>393</v>
      </c>
      <c r="H761" s="38" t="s">
        <v>608</v>
      </c>
      <c r="I761" s="36" t="s">
        <v>304</v>
      </c>
      <c r="J761" s="39" t="s">
        <v>1498</v>
      </c>
      <c r="K761" s="36">
        <v>170293</v>
      </c>
      <c r="L761" s="40">
        <v>120</v>
      </c>
      <c r="M761" s="40">
        <v>120</v>
      </c>
      <c r="N761" s="41">
        <v>44490</v>
      </c>
      <c r="O761" s="45"/>
      <c r="P761" s="45"/>
      <c r="Q761" s="176" t="e">
        <f>MONTH([1]!Tableau13[[#This Row],[Date début]])</f>
        <v>#REF!</v>
      </c>
      <c r="R761" s="180" t="e">
        <f>YEAR([1]!Tableau13[[#This Row],[Date début]])</f>
        <v>#REF!</v>
      </c>
      <c r="S761" s="44"/>
      <c r="T761" s="44"/>
    </row>
    <row r="762" spans="1:20" s="75" customFormat="1" ht="30" customHeight="1">
      <c r="A762" s="35">
        <v>44491</v>
      </c>
      <c r="B762" s="36">
        <v>409</v>
      </c>
      <c r="C762" s="37" t="str">
        <f>IF(ISNA(VLOOKUP(Tableau13[[#This Row],[Code]],'Code Véhicule'!$A$4:$C$185,2,0)),"",VLOOKUP(Tableau13[[#This Row],[Code]],'Code Véhicule'!$A$4:$C$185,2,0))</f>
        <v>Camion</v>
      </c>
      <c r="D762" s="38" t="str">
        <f>IF(ISNA(VLOOKUP(Tableau13[[#This Row],[Code]],'Code Véhicule'!$A$4:$C$185,3,0)),"",VLOOKUP(Tableau13[[#This Row],[Code]],'Code Véhicule'!$A$4:$C$185,3,0))</f>
        <v>Mitsubishi</v>
      </c>
      <c r="E762" s="36" t="str">
        <f>IF(ISNA(VLOOKUP(Tableau13[[#This Row],[Code]],'Code Véhicule'!$A$4:$D$185,4,0))," ",VLOOKUP(Tableau13[[#This Row],[Code]],'Code Véhicule'!$A$4:$D$185,4,0))</f>
        <v xml:space="preserve">4969-A-73 </v>
      </c>
      <c r="F762" s="36">
        <v>24673</v>
      </c>
      <c r="G762" s="38" t="s">
        <v>353</v>
      </c>
      <c r="H762" s="38" t="s">
        <v>1034</v>
      </c>
      <c r="I762" s="36" t="s">
        <v>304</v>
      </c>
      <c r="J762" s="39" t="s">
        <v>1499</v>
      </c>
      <c r="K762" s="36">
        <v>170103</v>
      </c>
      <c r="L762" s="40">
        <v>120</v>
      </c>
      <c r="M762" s="40">
        <v>120</v>
      </c>
      <c r="N762" s="41">
        <v>44491</v>
      </c>
      <c r="O762" s="45"/>
      <c r="P762" s="45"/>
      <c r="Q762" s="176" t="e">
        <f>MONTH([1]!Tableau13[[#This Row],[Date début]])</f>
        <v>#REF!</v>
      </c>
      <c r="R762" s="180" t="e">
        <f>YEAR([1]!Tableau13[[#This Row],[Date début]])</f>
        <v>#REF!</v>
      </c>
      <c r="S762" s="44"/>
      <c r="T762" s="44"/>
    </row>
    <row r="763" spans="1:20" s="75" customFormat="1" ht="23.25" customHeight="1">
      <c r="A763" s="35">
        <v>44491</v>
      </c>
      <c r="B763" s="36">
        <v>407</v>
      </c>
      <c r="C763" s="37" t="str">
        <f>IF(ISNA(VLOOKUP(Tableau13[[#This Row],[Code]],'Code Véhicule'!$A$4:$C$185,2,0)),"",VLOOKUP(Tableau13[[#This Row],[Code]],'Code Véhicule'!$A$4:$C$185,2,0))</f>
        <v>Semi remorque</v>
      </c>
      <c r="D763" s="38" t="str">
        <f>IF(ISNA(VLOOKUP(Tableau13[[#This Row],[Code]],'Code Véhicule'!$A$4:$C$185,3,0)),"",VLOOKUP(Tableau13[[#This Row],[Code]],'Code Véhicule'!$A$4:$C$185,3,0))</f>
        <v>MAN</v>
      </c>
      <c r="E763" s="36" t="str">
        <f>IF(ISNA(VLOOKUP(Tableau13[[#This Row],[Code]],'Code Véhicule'!$A$4:$D$185,4,0))," ",VLOOKUP(Tableau13[[#This Row],[Code]],'Code Véhicule'!$A$4:$D$185,4,0))</f>
        <v>706-A-73</v>
      </c>
      <c r="F763" s="36">
        <v>24676</v>
      </c>
      <c r="G763" s="38" t="s">
        <v>1504</v>
      </c>
      <c r="H763" s="38" t="s">
        <v>1505</v>
      </c>
      <c r="I763" s="36" t="s">
        <v>304</v>
      </c>
      <c r="J763" s="39" t="s">
        <v>1524</v>
      </c>
      <c r="K763" s="36" t="s">
        <v>1506</v>
      </c>
      <c r="L763" s="40">
        <f>570*5</f>
        <v>2850</v>
      </c>
      <c r="M763" s="40">
        <f>570*8</f>
        <v>4560</v>
      </c>
      <c r="N763" s="41">
        <v>44500</v>
      </c>
      <c r="O763" s="45"/>
      <c r="P763" s="45"/>
      <c r="Q763" s="176" t="e">
        <f>MONTH([1]!Tableau13[[#This Row],[Date début]])</f>
        <v>#REF!</v>
      </c>
      <c r="R763" s="180" t="e">
        <f>YEAR([1]!Tableau13[[#This Row],[Date début]])</f>
        <v>#REF!</v>
      </c>
      <c r="S763" s="44"/>
      <c r="T763" s="44"/>
    </row>
    <row r="764" spans="1:20" s="75" customFormat="1" ht="30" customHeight="1">
      <c r="A764" s="35">
        <v>44491</v>
      </c>
      <c r="B764" s="36">
        <v>429</v>
      </c>
      <c r="C764" s="37" t="str">
        <f>IF(ISNA(VLOOKUP(Tableau13[[#This Row],[Code]],'Code Véhicule'!$A$4:$C$185,2,0)),"",VLOOKUP(Tableau13[[#This Row],[Code]],'Code Véhicule'!$A$4:$C$185,2,0))</f>
        <v>Chariot elevateur</v>
      </c>
      <c r="D764" s="38" t="str">
        <f>IF(ISNA(VLOOKUP(Tableau13[[#This Row],[Code]],'Code Véhicule'!$A$4:$C$185,3,0)),"",VLOOKUP(Tableau13[[#This Row],[Code]],'Code Véhicule'!$A$4:$C$185,3,0))</f>
        <v>Fenwick HD30</v>
      </c>
      <c r="E764" s="36" t="str">
        <f>IF(ISNA(VLOOKUP(Tableau13[[#This Row],[Code]],'Code Véhicule'!$A$4:$D$185,4,0))," ",VLOOKUP(Tableau13[[#This Row],[Code]],'Code Véhicule'!$A$4:$D$185,4,0))</f>
        <v>-</v>
      </c>
      <c r="F764" s="36">
        <v>24687</v>
      </c>
      <c r="G764" s="38" t="s">
        <v>1016</v>
      </c>
      <c r="H764" s="38" t="s">
        <v>1017</v>
      </c>
      <c r="I764" s="36" t="s">
        <v>304</v>
      </c>
      <c r="J764" s="39" t="s">
        <v>1519</v>
      </c>
      <c r="K764" s="36" t="s">
        <v>1520</v>
      </c>
      <c r="L764" s="40">
        <v>2850</v>
      </c>
      <c r="M764" s="40">
        <v>5700</v>
      </c>
      <c r="N764" s="41">
        <v>44504</v>
      </c>
      <c r="O764" s="45"/>
      <c r="P764" s="45"/>
      <c r="Q764" s="176" t="e">
        <f>MONTH([1]!Tableau13[[#This Row],[Date début]])</f>
        <v>#REF!</v>
      </c>
      <c r="R764" s="180" t="e">
        <f>YEAR([1]!Tableau13[[#This Row],[Date début]])</f>
        <v>#REF!</v>
      </c>
      <c r="S764" s="44"/>
      <c r="T764" s="44"/>
    </row>
    <row r="765" spans="1:20" s="75" customFormat="1" ht="48" customHeight="1">
      <c r="A765" s="35">
        <v>44493</v>
      </c>
      <c r="B765" s="36">
        <v>434</v>
      </c>
      <c r="C765" s="37" t="str">
        <f>IF(ISNA(VLOOKUP(Tableau13[[#This Row],[Code]],'Code Véhicule'!$A$4:$C$185,2,0)),"",VLOOKUP(Tableau13[[#This Row],[Code]],'Code Véhicule'!$A$4:$C$185,2,0))</f>
        <v>Chariot elevateur</v>
      </c>
      <c r="D765" s="38" t="str">
        <f>IF(ISNA(VLOOKUP(Tableau13[[#This Row],[Code]],'Code Véhicule'!$A$4:$C$185,3,0)),"",VLOOKUP(Tableau13[[#This Row],[Code]],'Code Véhicule'!$A$4:$C$185,3,0))</f>
        <v>Linde H30D</v>
      </c>
      <c r="E765" s="36" t="str">
        <f>IF(ISNA(VLOOKUP(Tableau13[[#This Row],[Code]],'Code Véhicule'!$A$4:$D$185,4,0))," ",VLOOKUP(Tableau13[[#This Row],[Code]],'Code Véhicule'!$A$4:$D$185,4,0))</f>
        <v>-</v>
      </c>
      <c r="F765" s="36">
        <v>24674</v>
      </c>
      <c r="G765" s="38" t="s">
        <v>1193</v>
      </c>
      <c r="H765" s="38" t="s">
        <v>1500</v>
      </c>
      <c r="I765" s="36" t="s">
        <v>304</v>
      </c>
      <c r="J765" s="39" t="s">
        <v>1501</v>
      </c>
      <c r="K765" s="36">
        <v>171109</v>
      </c>
      <c r="L765" s="40">
        <v>180</v>
      </c>
      <c r="M765" s="40">
        <v>180</v>
      </c>
      <c r="N765" s="41">
        <v>44493</v>
      </c>
      <c r="O765" s="45"/>
      <c r="P765" s="45"/>
      <c r="Q765" s="176" t="e">
        <f>MONTH([1]!Tableau13[[#This Row],[Date début]])</f>
        <v>#REF!</v>
      </c>
      <c r="R765" s="180" t="e">
        <f>YEAR([1]!Tableau13[[#This Row],[Date début]])</f>
        <v>#REF!</v>
      </c>
      <c r="S765" s="44"/>
      <c r="T765" s="44"/>
    </row>
    <row r="766" spans="1:20" s="75" customFormat="1" ht="60" customHeight="1">
      <c r="A766" s="35">
        <v>44494</v>
      </c>
      <c r="B766" s="36">
        <v>426</v>
      </c>
      <c r="C766" s="37" t="str">
        <f>IF(ISNA(VLOOKUP(Tableau13[[#This Row],[Code]],'Code Véhicule'!$A$4:$C$185,2,0)),"",VLOOKUP(Tableau13[[#This Row],[Code]],'Code Véhicule'!$A$4:$C$185,2,0))</f>
        <v>Chariot elevateur</v>
      </c>
      <c r="D766" s="38" t="str">
        <f>IF(ISNA(VLOOKUP(Tableau13[[#This Row],[Code]],'Code Véhicule'!$A$4:$C$185,3,0)),"",VLOOKUP(Tableau13[[#This Row],[Code]],'Code Véhicule'!$A$4:$C$185,3,0))</f>
        <v>Manitou MC 30</v>
      </c>
      <c r="E766" s="36" t="str">
        <f>IF(ISNA(VLOOKUP(Tableau13[[#This Row],[Code]],'Code Véhicule'!$A$4:$D$185,4,0))," ",VLOOKUP(Tableau13[[#This Row],[Code]],'Code Véhicule'!$A$4:$D$185,4,0))</f>
        <v>-</v>
      </c>
      <c r="F766" s="36">
        <v>24675</v>
      </c>
      <c r="G766" s="38" t="s">
        <v>1502</v>
      </c>
      <c r="H766" s="38" t="s">
        <v>611</v>
      </c>
      <c r="I766" s="36" t="s">
        <v>304</v>
      </c>
      <c r="J766" s="39" t="s">
        <v>1503</v>
      </c>
      <c r="K766" s="36">
        <v>171105</v>
      </c>
      <c r="L766" s="40">
        <v>30</v>
      </c>
      <c r="M766" s="40">
        <v>30</v>
      </c>
      <c r="N766" s="41">
        <v>44525</v>
      </c>
      <c r="O766" s="45"/>
      <c r="P766" s="45"/>
      <c r="Q766" s="176" t="e">
        <f>MONTH([1]!Tableau13[[#This Row],[Date début]])</f>
        <v>#REF!</v>
      </c>
      <c r="R766" s="180" t="e">
        <f>YEAR([1]!Tableau13[[#This Row],[Date début]])</f>
        <v>#REF!</v>
      </c>
      <c r="S766" s="44"/>
      <c r="T766" s="44"/>
    </row>
    <row r="767" spans="1:20" s="75" customFormat="1" ht="45" customHeight="1">
      <c r="A767" s="35">
        <v>44494</v>
      </c>
      <c r="B767" s="36">
        <v>434</v>
      </c>
      <c r="C767" s="37" t="str">
        <f>IF(ISNA(VLOOKUP(Tableau13[[#This Row],[Code]],'Code Véhicule'!$A$4:$C$185,2,0)),"",VLOOKUP(Tableau13[[#This Row],[Code]],'Code Véhicule'!$A$4:$C$185,2,0))</f>
        <v>Chariot elevateur</v>
      </c>
      <c r="D767" s="38" t="str">
        <f>IF(ISNA(VLOOKUP(Tableau13[[#This Row],[Code]],'Code Véhicule'!$A$4:$C$185,3,0)),"",VLOOKUP(Tableau13[[#This Row],[Code]],'Code Véhicule'!$A$4:$C$185,3,0))</f>
        <v>Linde H30D</v>
      </c>
      <c r="E767" s="36" t="str">
        <f>IF(ISNA(VLOOKUP(Tableau13[[#This Row],[Code]],'Code Véhicule'!$A$4:$D$185,4,0))," ",VLOOKUP(Tableau13[[#This Row],[Code]],'Code Véhicule'!$A$4:$D$185,4,0))</f>
        <v>-</v>
      </c>
      <c r="F767" s="36">
        <v>24677</v>
      </c>
      <c r="G767" s="38" t="s">
        <v>393</v>
      </c>
      <c r="H767" s="38" t="s">
        <v>608</v>
      </c>
      <c r="I767" s="36" t="s">
        <v>302</v>
      </c>
      <c r="J767" s="39" t="s">
        <v>1507</v>
      </c>
      <c r="K767" s="36">
        <v>171114</v>
      </c>
      <c r="L767" s="40">
        <v>120</v>
      </c>
      <c r="M767" s="40">
        <v>120</v>
      </c>
      <c r="N767" s="41">
        <v>44494</v>
      </c>
      <c r="O767" s="45"/>
      <c r="P767" s="45"/>
      <c r="Q767" s="176" t="e">
        <f>MONTH([1]!Tableau13[[#This Row],[Date début]])</f>
        <v>#REF!</v>
      </c>
      <c r="R767" s="180" t="e">
        <f>YEAR([1]!Tableau13[[#This Row],[Date début]])</f>
        <v>#REF!</v>
      </c>
      <c r="S767" s="44"/>
      <c r="T767" s="44"/>
    </row>
    <row r="768" spans="1:20" s="75" customFormat="1" ht="30" customHeight="1">
      <c r="A768" s="35">
        <v>44495</v>
      </c>
      <c r="B768" s="36">
        <v>438</v>
      </c>
      <c r="C768" s="37" t="str">
        <f>IF(ISNA(VLOOKUP(Tableau13[[#This Row],[Code]],'Code Véhicule'!$A$4:$C$185,2,0)),"",VLOOKUP(Tableau13[[#This Row],[Code]],'Code Véhicule'!$A$4:$C$185,2,0))</f>
        <v>Semi remorque</v>
      </c>
      <c r="D768" s="38" t="str">
        <f>IF(ISNA(VLOOKUP(Tableau13[[#This Row],[Code]],'Code Véhicule'!$A$4:$C$185,3,0)),"",VLOOKUP(Tableau13[[#This Row],[Code]],'Code Véhicule'!$A$4:$C$185,3,0))</f>
        <v>VOLVO</v>
      </c>
      <c r="E768" s="36" t="str">
        <f>IF(ISNA(VLOOKUP(Tableau13[[#This Row],[Code]],'Code Véhicule'!$A$4:$D$185,4,0))," ",VLOOKUP(Tableau13[[#This Row],[Code]],'Code Véhicule'!$A$4:$D$185,4,0))</f>
        <v xml:space="preserve">17885-A-73 </v>
      </c>
      <c r="F768" s="36">
        <v>24678</v>
      </c>
      <c r="G768" s="38" t="s">
        <v>393</v>
      </c>
      <c r="H768" s="38" t="s">
        <v>608</v>
      </c>
      <c r="I768" s="36" t="s">
        <v>302</v>
      </c>
      <c r="J768" s="39" t="s">
        <v>1508</v>
      </c>
      <c r="K768" s="36" t="s">
        <v>1509</v>
      </c>
      <c r="L768" s="40">
        <v>122</v>
      </c>
      <c r="M768" s="40">
        <v>120</v>
      </c>
      <c r="N768" s="41">
        <v>44495</v>
      </c>
      <c r="O768" s="45"/>
      <c r="P768" s="45"/>
      <c r="Q768" s="176" t="e">
        <f>MONTH([1]!Tableau13[[#This Row],[Date début]])</f>
        <v>#REF!</v>
      </c>
      <c r="R768" s="180" t="e">
        <f>YEAR([1]!Tableau13[[#This Row],[Date début]])</f>
        <v>#REF!</v>
      </c>
      <c r="S768" s="44"/>
      <c r="T768" s="44"/>
    </row>
    <row r="769" spans="1:20" s="75" customFormat="1" ht="75" customHeight="1">
      <c r="A769" s="35">
        <v>44495</v>
      </c>
      <c r="B769" s="36">
        <v>408</v>
      </c>
      <c r="C769" s="37" t="str">
        <f>IF(ISNA(VLOOKUP(Tableau13[[#This Row],[Code]],'Code Véhicule'!$A$4:$C$185,2,0)),"",VLOOKUP(Tableau13[[#This Row],[Code]],'Code Véhicule'!$A$4:$C$185,2,0))</f>
        <v>Camion</v>
      </c>
      <c r="D769" s="38" t="str">
        <f>IF(ISNA(VLOOKUP(Tableau13[[#This Row],[Code]],'Code Véhicule'!$A$4:$C$185,3,0)),"",VLOOKUP(Tableau13[[#This Row],[Code]],'Code Véhicule'!$A$4:$C$185,3,0))</f>
        <v>Mitsubishi</v>
      </c>
      <c r="E769" s="36" t="str">
        <f>IF(ISNA(VLOOKUP(Tableau13[[#This Row],[Code]],'Code Véhicule'!$A$4:$D$185,4,0))," ",VLOOKUP(Tableau13[[#This Row],[Code]],'Code Véhicule'!$A$4:$D$185,4,0))</f>
        <v>4703-A-73</v>
      </c>
      <c r="F769" s="36">
        <v>24679</v>
      </c>
      <c r="G769" s="38" t="s">
        <v>353</v>
      </c>
      <c r="H769" s="38" t="s">
        <v>1034</v>
      </c>
      <c r="I769" s="36" t="s">
        <v>304</v>
      </c>
      <c r="J769" s="39" t="s">
        <v>1510</v>
      </c>
      <c r="K769" s="36">
        <v>171120</v>
      </c>
      <c r="L769" s="40">
        <v>120</v>
      </c>
      <c r="M769" s="40">
        <v>120</v>
      </c>
      <c r="N769" s="41">
        <v>44495</v>
      </c>
      <c r="O769" s="45"/>
      <c r="P769" s="45"/>
      <c r="Q769" s="176" t="e">
        <f>MONTH([1]!Tableau13[[#This Row],[Date début]])</f>
        <v>#REF!</v>
      </c>
      <c r="R769" s="180" t="e">
        <f>YEAR([1]!Tableau13[[#This Row],[Date début]])</f>
        <v>#REF!</v>
      </c>
      <c r="S769" s="44"/>
      <c r="T769" s="44"/>
    </row>
    <row r="770" spans="1:20" s="75" customFormat="1" ht="23.25" customHeight="1">
      <c r="A770" s="35">
        <v>44496</v>
      </c>
      <c r="B770" s="36">
        <v>439</v>
      </c>
      <c r="C770" s="37" t="str">
        <f>IF(ISNA(VLOOKUP(Tableau13[[#This Row],[Code]],'Code Véhicule'!$A$4:$C$185,2,0)),"",VLOOKUP(Tableau13[[#This Row],[Code]],'Code Véhicule'!$A$4:$C$185,2,0))</f>
        <v>Semi remorque</v>
      </c>
      <c r="D770" s="38" t="str">
        <f>IF(ISNA(VLOOKUP(Tableau13[[#This Row],[Code]],'Code Véhicule'!$A$4:$C$185,3,0)),"",VLOOKUP(Tableau13[[#This Row],[Code]],'Code Véhicule'!$A$4:$C$185,3,0))</f>
        <v>VOLVO</v>
      </c>
      <c r="E770" s="36" t="str">
        <f>IF(ISNA(VLOOKUP(Tableau13[[#This Row],[Code]],'Code Véhicule'!$A$4:$D$185,4,0))," ",VLOOKUP(Tableau13[[#This Row],[Code]],'Code Véhicule'!$A$4:$D$185,4,0))</f>
        <v xml:space="preserve">17886-A-73 </v>
      </c>
      <c r="F770" s="36">
        <v>24680</v>
      </c>
      <c r="G770" s="38" t="s">
        <v>393</v>
      </c>
      <c r="H770" s="38" t="s">
        <v>608</v>
      </c>
      <c r="I770" s="36" t="s">
        <v>1511</v>
      </c>
      <c r="J770" s="39" t="s">
        <v>1512</v>
      </c>
      <c r="K770" s="36">
        <v>171121</v>
      </c>
      <c r="L770" s="40">
        <v>120</v>
      </c>
      <c r="M770" s="40">
        <v>120</v>
      </c>
      <c r="N770" s="41">
        <v>44496</v>
      </c>
      <c r="O770" s="45"/>
      <c r="P770" s="45"/>
      <c r="Q770" s="176" t="e">
        <f>MONTH([1]!Tableau13[[#This Row],[Date début]])</f>
        <v>#REF!</v>
      </c>
      <c r="R770" s="180" t="e">
        <f>YEAR([1]!Tableau13[[#This Row],[Date début]])</f>
        <v>#REF!</v>
      </c>
      <c r="S770" s="44"/>
      <c r="T770" s="44"/>
    </row>
    <row r="771" spans="1:20" s="75" customFormat="1" ht="30" customHeight="1">
      <c r="A771" s="35">
        <v>44497</v>
      </c>
      <c r="B771" s="36"/>
      <c r="C771" s="37" t="s">
        <v>536</v>
      </c>
      <c r="D771" s="38" t="str">
        <f>IF(ISNA(VLOOKUP(Tableau13[[#This Row],[Code]],'Code Véhicule'!$A$4:$C$185,3,0)),"",VLOOKUP(Tableau13[[#This Row],[Code]],'Code Véhicule'!$A$4:$C$185,3,0))</f>
        <v/>
      </c>
      <c r="E771" s="36" t="str">
        <f>IF(ISNA(VLOOKUP(Tableau13[[#This Row],[Code]],'Code Véhicule'!$A$4:$D$185,4,0))," ",VLOOKUP(Tableau13[[#This Row],[Code]],'Code Véhicule'!$A$4:$D$185,4,0))</f>
        <v xml:space="preserve"> </v>
      </c>
      <c r="F771" s="36">
        <v>24681</v>
      </c>
      <c r="G771" s="38" t="s">
        <v>537</v>
      </c>
      <c r="H771" s="38" t="s">
        <v>601</v>
      </c>
      <c r="I771" s="36"/>
      <c r="J771" s="39" t="s">
        <v>1513</v>
      </c>
      <c r="K771" s="36">
        <v>171126</v>
      </c>
      <c r="L771" s="40">
        <v>120</v>
      </c>
      <c r="M771" s="40">
        <v>12</v>
      </c>
      <c r="N771" s="41">
        <v>44497</v>
      </c>
      <c r="O771" s="45"/>
      <c r="P771" s="45"/>
      <c r="Q771" s="176" t="e">
        <f>MONTH([1]!Tableau13[[#This Row],[Date début]])</f>
        <v>#REF!</v>
      </c>
      <c r="R771" s="180" t="e">
        <f>YEAR([1]!Tableau13[[#This Row],[Date début]])</f>
        <v>#REF!</v>
      </c>
      <c r="S771" s="44"/>
      <c r="T771" s="44"/>
    </row>
    <row r="772" spans="1:20" s="75" customFormat="1" ht="23.25" customHeight="1">
      <c r="A772" s="35">
        <v>44499</v>
      </c>
      <c r="B772" s="36">
        <v>401</v>
      </c>
      <c r="C772" s="37" t="str">
        <f>IF(ISNA(VLOOKUP(Tableau13[[#This Row],[Code]],'Code Véhicule'!$A$4:$C$185,2,0)),"",VLOOKUP(Tableau13[[#This Row],[Code]],'Code Véhicule'!$A$4:$C$185,2,0))</f>
        <v>Camion</v>
      </c>
      <c r="D772" s="38" t="str">
        <f>IF(ISNA(VLOOKUP(Tableau13[[#This Row],[Code]],'Code Véhicule'!$A$4:$C$185,3,0)),"",VLOOKUP(Tableau13[[#This Row],[Code]],'Code Véhicule'!$A$4:$C$185,3,0))</f>
        <v>ISUZU</v>
      </c>
      <c r="E772" s="36" t="str">
        <f>IF(ISNA(VLOOKUP(Tableau13[[#This Row],[Code]],'Code Véhicule'!$A$4:$D$185,4,0))," ",VLOOKUP(Tableau13[[#This Row],[Code]],'Code Véhicule'!$A$4:$D$185,4,0))</f>
        <v>26128-A-8</v>
      </c>
      <c r="F772" s="36">
        <v>24683</v>
      </c>
      <c r="G772" s="38" t="s">
        <v>560</v>
      </c>
      <c r="H772" s="38" t="s">
        <v>604</v>
      </c>
      <c r="I772" s="36" t="s">
        <v>304</v>
      </c>
      <c r="J772" s="39" t="s">
        <v>530</v>
      </c>
      <c r="K772" s="36">
        <v>171131</v>
      </c>
      <c r="L772" s="40">
        <v>30</v>
      </c>
      <c r="M772" s="40">
        <v>30</v>
      </c>
      <c r="N772" s="41">
        <v>44499</v>
      </c>
      <c r="O772" s="45"/>
      <c r="P772" s="45"/>
      <c r="Q772" s="176" t="e">
        <f>MONTH([1]!Tableau13[[#This Row],[Date début]])</f>
        <v>#REF!</v>
      </c>
      <c r="R772" s="180" t="e">
        <f>YEAR([1]!Tableau13[[#This Row],[Date début]])</f>
        <v>#REF!</v>
      </c>
      <c r="S772" s="44"/>
      <c r="T772" s="44"/>
    </row>
    <row r="773" spans="1:20" s="75" customFormat="1" ht="23.25" customHeight="1">
      <c r="A773" s="35">
        <v>44499</v>
      </c>
      <c r="B773" s="36">
        <v>410</v>
      </c>
      <c r="C773" s="37" t="str">
        <f>IF(ISNA(VLOOKUP(Tableau13[[#This Row],[Code]],'Code Véhicule'!$A$4:$C$185,2,0)),"",VLOOKUP(Tableau13[[#This Row],[Code]],'Code Véhicule'!$A$4:$C$185,2,0))</f>
        <v>Semi remorque</v>
      </c>
      <c r="D773" s="38" t="str">
        <f>IF(ISNA(VLOOKUP(Tableau13[[#This Row],[Code]],'Code Véhicule'!$A$4:$C$185,3,0)),"",VLOOKUP(Tableau13[[#This Row],[Code]],'Code Véhicule'!$A$4:$C$185,3,0))</f>
        <v>MAN</v>
      </c>
      <c r="E773" s="36" t="str">
        <f>IF(ISNA(VLOOKUP(Tableau13[[#This Row],[Code]],'Code Véhicule'!$A$4:$D$185,4,0))," ",VLOOKUP(Tableau13[[#This Row],[Code]],'Code Véhicule'!$A$4:$D$185,4,0))</f>
        <v xml:space="preserve">28659-D-1 </v>
      </c>
      <c r="F773" s="36">
        <v>24684</v>
      </c>
      <c r="G773" s="38" t="s">
        <v>327</v>
      </c>
      <c r="H773" s="38" t="s">
        <v>701</v>
      </c>
      <c r="I773" s="36" t="s">
        <v>304</v>
      </c>
      <c r="J773" s="39" t="s">
        <v>491</v>
      </c>
      <c r="K773" s="36">
        <v>171132</v>
      </c>
      <c r="L773" s="40">
        <v>30</v>
      </c>
      <c r="M773" s="40">
        <v>30</v>
      </c>
      <c r="N773" s="41">
        <v>44499</v>
      </c>
      <c r="O773" s="45"/>
      <c r="P773" s="45"/>
      <c r="Q773" s="176" t="e">
        <f>MONTH([1]!Tableau13[[#This Row],[Date début]])</f>
        <v>#REF!</v>
      </c>
      <c r="R773" s="180" t="e">
        <f>YEAR([1]!Tableau13[[#This Row],[Date début]])</f>
        <v>#REF!</v>
      </c>
      <c r="S773" s="44"/>
      <c r="T773" s="44"/>
    </row>
    <row r="774" spans="1:20" s="75" customFormat="1" ht="60" customHeight="1">
      <c r="A774" s="35">
        <v>44499</v>
      </c>
      <c r="B774" s="36">
        <v>431</v>
      </c>
      <c r="C774" s="37" t="str">
        <f>IF(ISNA(VLOOKUP(Tableau13[[#This Row],[Code]],'Code Véhicule'!$A$4:$C$185,2,0)),"",VLOOKUP(Tableau13[[#This Row],[Code]],'Code Véhicule'!$A$4:$C$185,2,0))</f>
        <v>Chariot elevateur</v>
      </c>
      <c r="D774" s="38" t="str">
        <f>IF(ISNA(VLOOKUP(Tableau13[[#This Row],[Code]],'Code Véhicule'!$A$4:$C$185,3,0)),"",VLOOKUP(Tableau13[[#This Row],[Code]],'Code Véhicule'!$A$4:$C$185,3,0))</f>
        <v>Manitou M26-2</v>
      </c>
      <c r="E774" s="36" t="str">
        <f>IF(ISNA(VLOOKUP(Tableau13[[#This Row],[Code]],'Code Véhicule'!$A$4:$D$185,4,0))," ",VLOOKUP(Tableau13[[#This Row],[Code]],'Code Véhicule'!$A$4:$D$185,4,0))</f>
        <v>-</v>
      </c>
      <c r="F774" s="36">
        <v>24685</v>
      </c>
      <c r="G774" s="38" t="s">
        <v>1193</v>
      </c>
      <c r="H774" s="38" t="s">
        <v>1516</v>
      </c>
      <c r="I774" s="36" t="s">
        <v>304</v>
      </c>
      <c r="J774" s="39" t="s">
        <v>1522</v>
      </c>
      <c r="K774" s="36">
        <v>171133</v>
      </c>
      <c r="L774" s="40">
        <v>120</v>
      </c>
      <c r="M774" s="40">
        <v>120</v>
      </c>
      <c r="N774" s="41">
        <v>44499</v>
      </c>
      <c r="O774" s="45"/>
      <c r="P774" s="45"/>
      <c r="Q774" s="176" t="e">
        <f>MONTH([1]!Tableau13[[#This Row],[Date début]])</f>
        <v>#REF!</v>
      </c>
      <c r="R774" s="180" t="e">
        <f>YEAR([1]!Tableau13[[#This Row],[Date début]])</f>
        <v>#REF!</v>
      </c>
      <c r="S774" s="44"/>
      <c r="T774" s="44"/>
    </row>
    <row r="775" spans="1:20" s="75" customFormat="1" ht="30" customHeight="1">
      <c r="A775" s="35">
        <v>44499</v>
      </c>
      <c r="B775" s="36">
        <v>482</v>
      </c>
      <c r="C775" s="37" t="str">
        <f>IF(ISNA(VLOOKUP(Tableau13[[#This Row],[Code]],'Code Véhicule'!$A$4:$C$185,2,0)),"",VLOOKUP(Tableau13[[#This Row],[Code]],'Code Véhicule'!$A$4:$C$185,2,0))</f>
        <v>Pick up</v>
      </c>
      <c r="D775" s="38" t="str">
        <f>IF(ISNA(VLOOKUP(Tableau13[[#This Row],[Code]],'Code Véhicule'!$A$4:$C$185,3,0)),"",VLOOKUP(Tableau13[[#This Row],[Code]],'Code Véhicule'!$A$4:$C$185,3,0))</f>
        <v>HYUNDAI H100</v>
      </c>
      <c r="E775" s="36" t="str">
        <f>IF(ISNA(VLOOKUP(Tableau13[[#This Row],[Code]],'Code Véhicule'!$A$4:$D$185,4,0))," ",VLOOKUP(Tableau13[[#This Row],[Code]],'Code Véhicule'!$A$4:$D$185,4,0))</f>
        <v>22368-A-73</v>
      </c>
      <c r="F775" s="36">
        <v>24686</v>
      </c>
      <c r="G775" s="38" t="s">
        <v>353</v>
      </c>
      <c r="H775" s="38" t="s">
        <v>1034</v>
      </c>
      <c r="I775" s="36" t="s">
        <v>304</v>
      </c>
      <c r="J775" s="39" t="s">
        <v>1517</v>
      </c>
      <c r="K775" s="36" t="s">
        <v>1518</v>
      </c>
      <c r="L775" s="40">
        <v>120</v>
      </c>
      <c r="M775" s="40">
        <v>120</v>
      </c>
      <c r="N775" s="41">
        <v>44499</v>
      </c>
      <c r="O775" s="45"/>
      <c r="P775" s="45"/>
      <c r="Q775" s="176" t="e">
        <f>MONTH([1]!Tableau13[[#This Row],[Date début]])</f>
        <v>#REF!</v>
      </c>
      <c r="R775" s="180" t="e">
        <f>YEAR([1]!Tableau13[[#This Row],[Date début]])</f>
        <v>#REF!</v>
      </c>
      <c r="S775" s="44"/>
      <c r="T775" s="44"/>
    </row>
    <row r="776" spans="1:20" s="75" customFormat="1" ht="75" customHeight="1">
      <c r="A776" s="35">
        <v>44500</v>
      </c>
      <c r="B776" s="36">
        <v>403</v>
      </c>
      <c r="C776" s="37" t="str">
        <f>IF(ISNA(VLOOKUP(Tableau13[[#This Row],[Code]],'Code Véhicule'!$A$4:$C$185,2,0)),"",VLOOKUP(Tableau13[[#This Row],[Code]],'Code Véhicule'!$A$4:$C$185,2,0))</f>
        <v>Camion</v>
      </c>
      <c r="D776" s="38" t="str">
        <f>IF(ISNA(VLOOKUP(Tableau13[[#This Row],[Code]],'Code Véhicule'!$A$4:$C$185,3,0)),"",VLOOKUP(Tableau13[[#This Row],[Code]],'Code Véhicule'!$A$4:$C$185,3,0))</f>
        <v>MAN</v>
      </c>
      <c r="E776" s="36" t="str">
        <f>IF(ISNA(VLOOKUP(Tableau13[[#This Row],[Code]],'Code Véhicule'!$A$4:$D$185,4,0))," ",VLOOKUP(Tableau13[[#This Row],[Code]],'Code Véhicule'!$A$4:$D$185,4,0))</f>
        <v>4790-B-8</v>
      </c>
      <c r="F776" s="36">
        <v>24682</v>
      </c>
      <c r="G776" s="38" t="s">
        <v>1534</v>
      </c>
      <c r="H776" s="38" t="s">
        <v>1514</v>
      </c>
      <c r="I776" s="36" t="s">
        <v>304</v>
      </c>
      <c r="J776" s="39" t="s">
        <v>326</v>
      </c>
      <c r="K776" s="36" t="s">
        <v>1515</v>
      </c>
      <c r="L776" s="40">
        <v>570</v>
      </c>
      <c r="M776" s="40">
        <v>570</v>
      </c>
      <c r="N776" s="41">
        <v>44497</v>
      </c>
      <c r="O776" s="45"/>
      <c r="P776" s="45"/>
      <c r="Q776" s="176" t="e">
        <f>MONTH([1]!Tableau13[[#This Row],[Date début]])</f>
        <v>#REF!</v>
      </c>
      <c r="R776" s="180" t="e">
        <f>YEAR([1]!Tableau13[[#This Row],[Date début]])</f>
        <v>#REF!</v>
      </c>
      <c r="S776" s="44"/>
      <c r="T776" s="44"/>
    </row>
    <row r="777" spans="1:20" s="75" customFormat="1" ht="45" customHeight="1">
      <c r="A777" s="35">
        <v>44501</v>
      </c>
      <c r="B777" s="36">
        <v>427</v>
      </c>
      <c r="C777" s="37" t="str">
        <f>IF(ISNA(VLOOKUP(Tableau13[[#This Row],[Code]],'Code Véhicule'!$A$4:$C$185,2,0)),"",VLOOKUP(Tableau13[[#This Row],[Code]],'Code Véhicule'!$A$4:$C$185,2,0))</f>
        <v>Chariot elevateur</v>
      </c>
      <c r="D777" s="38" t="str">
        <f>IF(ISNA(VLOOKUP(Tableau13[[#This Row],[Code]],'Code Véhicule'!$A$4:$C$185,3,0)),"",VLOOKUP(Tableau13[[#This Row],[Code]],'Code Véhicule'!$A$4:$C$185,3,0))</f>
        <v>Linde H30</v>
      </c>
      <c r="E777" s="36" t="str">
        <f>IF(ISNA(VLOOKUP(Tableau13[[#This Row],[Code]],'Code Véhicule'!$A$4:$D$185,4,0))," ",VLOOKUP(Tableau13[[#This Row],[Code]],'Code Véhicule'!$A$4:$D$185,4,0))</f>
        <v>-</v>
      </c>
      <c r="F777" s="36">
        <v>24688</v>
      </c>
      <c r="G777" s="38" t="s">
        <v>393</v>
      </c>
      <c r="H777" s="38" t="s">
        <v>608</v>
      </c>
      <c r="I777" s="36"/>
      <c r="J777" s="36" t="s">
        <v>1521</v>
      </c>
      <c r="K777" s="36">
        <v>171144</v>
      </c>
      <c r="L777" s="40">
        <v>120</v>
      </c>
      <c r="M777" s="40">
        <v>120</v>
      </c>
      <c r="N777" s="41">
        <v>44501</v>
      </c>
      <c r="O777" s="45"/>
      <c r="P777" s="45"/>
      <c r="Q777" s="176" t="e">
        <f>MONTH([1]!Tableau13[[#This Row],[Date début]])</f>
        <v>#REF!</v>
      </c>
      <c r="R777" s="180" t="e">
        <f>YEAR([1]!Tableau13[[#This Row],[Date début]])</f>
        <v>#REF!</v>
      </c>
      <c r="S777" s="44"/>
      <c r="T777" s="44"/>
    </row>
    <row r="778" spans="1:20" s="75" customFormat="1" ht="45">
      <c r="A778" s="35">
        <v>44501</v>
      </c>
      <c r="B778" s="36">
        <v>413</v>
      </c>
      <c r="C778" s="37" t="str">
        <f>IF(ISNA(VLOOKUP(Tableau13[[#This Row],[Code]],'Code Véhicule'!$A$4:$C$185,2,0)),"",VLOOKUP(Tableau13[[#This Row],[Code]],'Code Véhicule'!$A$4:$C$185,2,0))</f>
        <v>Chargeur</v>
      </c>
      <c r="D778" s="38" t="str">
        <f>IF(ISNA(VLOOKUP(Tableau13[[#This Row],[Code]],'Code Véhicule'!$A$4:$C$185,3,0)),"",VLOOKUP(Tableau13[[#This Row],[Code]],'Code Véhicule'!$A$4:$C$185,3,0))</f>
        <v>Caterpillar</v>
      </c>
      <c r="E778" s="36" t="str">
        <f>IF(ISNA(VLOOKUP(Tableau13[[#This Row],[Code]],'Code Véhicule'!$A$4:$D$185,4,0))," ",VLOOKUP(Tableau13[[#This Row],[Code]],'Code Véhicule'!$A$4:$D$185,4,0))</f>
        <v>-</v>
      </c>
      <c r="F778" s="36">
        <v>24692</v>
      </c>
      <c r="G778" s="38" t="s">
        <v>984</v>
      </c>
      <c r="H778" s="38" t="s">
        <v>985</v>
      </c>
      <c r="I778" s="36" t="s">
        <v>304</v>
      </c>
      <c r="J778" s="39" t="s">
        <v>1528</v>
      </c>
      <c r="K778" s="36" t="s">
        <v>1529</v>
      </c>
      <c r="L778" s="40">
        <v>120</v>
      </c>
      <c r="M778" s="40">
        <v>120</v>
      </c>
      <c r="N778" s="41">
        <v>44519</v>
      </c>
      <c r="O778" s="45"/>
      <c r="P778" s="45"/>
      <c r="Q778" s="176" t="e">
        <f>MONTH([1]!Tableau13[[#This Row],[Date début]])</f>
        <v>#REF!</v>
      </c>
      <c r="R778" s="180" t="e">
        <f>YEAR([1]!Tableau13[[#This Row],[Date début]])</f>
        <v>#REF!</v>
      </c>
      <c r="S778" s="44"/>
      <c r="T778" s="44"/>
    </row>
    <row r="779" spans="1:20" s="75" customFormat="1" ht="45" customHeight="1">
      <c r="A779" s="35">
        <v>44501</v>
      </c>
      <c r="B779" s="36">
        <v>433</v>
      </c>
      <c r="C779" s="37" t="str">
        <f>IF(ISNA(VLOOKUP(Tableau13[[#This Row],[Code]],'Code Véhicule'!$A$4:$C$185,2,0)),"",VLOOKUP(Tableau13[[#This Row],[Code]],'Code Véhicule'!$A$4:$C$185,2,0))</f>
        <v>Voiture de fonction</v>
      </c>
      <c r="D779" s="38" t="str">
        <f>IF(ISNA(VLOOKUP(Tableau13[[#This Row],[Code]],'Code Véhicule'!$A$4:$C$185,3,0)),"",VLOOKUP(Tableau13[[#This Row],[Code]],'Code Véhicule'!$A$4:$C$185,3,0))</f>
        <v>Berlingo</v>
      </c>
      <c r="E779" s="36" t="str">
        <f>IF(ISNA(VLOOKUP(Tableau13[[#This Row],[Code]],'Code Véhicule'!$A$4:$D$185,4,0))," ",VLOOKUP(Tableau13[[#This Row],[Code]],'Code Véhicule'!$A$4:$D$185,4,0))</f>
        <v>10551-A-73</v>
      </c>
      <c r="F779" s="36">
        <v>24695</v>
      </c>
      <c r="G779" s="38" t="s">
        <v>1534</v>
      </c>
      <c r="H779" s="38" t="s">
        <v>1245</v>
      </c>
      <c r="I779" s="36" t="s">
        <v>304</v>
      </c>
      <c r="J779" s="39" t="s">
        <v>1535</v>
      </c>
      <c r="K779" s="36" t="s">
        <v>1536</v>
      </c>
      <c r="L779" s="40">
        <v>2850</v>
      </c>
      <c r="M779" s="40">
        <v>8550</v>
      </c>
      <c r="N779" s="41">
        <v>44517</v>
      </c>
      <c r="O779" s="45"/>
      <c r="P779" s="45"/>
      <c r="Q779" s="176" t="e">
        <f>MONTH([1]!Tableau13[[#This Row],[Date début]])</f>
        <v>#REF!</v>
      </c>
      <c r="R779" s="180" t="e">
        <f>YEAR([1]!Tableau13[[#This Row],[Date début]])</f>
        <v>#REF!</v>
      </c>
      <c r="S779" s="44"/>
      <c r="T779" s="44"/>
    </row>
    <row r="780" spans="1:20" s="75" customFormat="1" ht="45" customHeight="1">
      <c r="A780" s="35">
        <v>44501</v>
      </c>
      <c r="B780" s="36" t="s">
        <v>1199</v>
      </c>
      <c r="C780" s="37" t="str">
        <f>IF(ISNA(VLOOKUP(Tableau13[[#This Row],[Code]],'Code Véhicule'!$A$4:$C$185,2,0)),"",VLOOKUP(Tableau13[[#This Row],[Code]],'Code Véhicule'!$A$4:$C$185,2,0))</f>
        <v>Chargeur</v>
      </c>
      <c r="D780" s="38" t="str">
        <f>IF(ISNA(VLOOKUP(Tableau13[[#This Row],[Code]],'Code Véhicule'!$A$4:$C$185,3,0)),"",VLOOKUP(Tableau13[[#This Row],[Code]],'Code Véhicule'!$A$4:$C$185,3,0))</f>
        <v>Caterpillar</v>
      </c>
      <c r="E780" s="36" t="str">
        <f>IF(ISNA(VLOOKUP(Tableau13[[#This Row],[Code]],'Code Véhicule'!$A$4:$D$185,4,0))," ",VLOOKUP(Tableau13[[#This Row],[Code]],'Code Véhicule'!$A$4:$D$185,4,0))</f>
        <v>-</v>
      </c>
      <c r="F780" s="36">
        <v>24696</v>
      </c>
      <c r="G780" s="38" t="s">
        <v>1537</v>
      </c>
      <c r="H780" s="38" t="s">
        <v>1538</v>
      </c>
      <c r="I780" s="36" t="s">
        <v>304</v>
      </c>
      <c r="J780" s="39" t="s">
        <v>1539</v>
      </c>
      <c r="K780" s="36" t="s">
        <v>1540</v>
      </c>
      <c r="L780" s="40">
        <v>4500</v>
      </c>
      <c r="M780" s="40">
        <v>10260</v>
      </c>
      <c r="N780" s="41">
        <v>44522</v>
      </c>
      <c r="O780" s="45"/>
      <c r="P780" s="45"/>
      <c r="Q780" s="176" t="e">
        <f>MONTH([1]!Tableau13[[#This Row],[Date début]])</f>
        <v>#REF!</v>
      </c>
      <c r="R780" s="180" t="e">
        <f>YEAR([1]!Tableau13[[#This Row],[Date début]])</f>
        <v>#REF!</v>
      </c>
      <c r="S780" s="44"/>
      <c r="T780" s="44"/>
    </row>
    <row r="781" spans="1:20" s="75" customFormat="1" ht="45" customHeight="1">
      <c r="A781" s="35">
        <v>44501</v>
      </c>
      <c r="B781" s="36">
        <v>439</v>
      </c>
      <c r="C781" s="37" t="str">
        <f>IF(ISNA(VLOOKUP(Tableau13[[#This Row],[Code]],'Code Véhicule'!$A$4:$C$185,2,0)),"",VLOOKUP(Tableau13[[#This Row],[Code]],'Code Véhicule'!$A$4:$C$185,2,0))</f>
        <v>Semi remorque</v>
      </c>
      <c r="D781" s="38" t="str">
        <f>IF(ISNA(VLOOKUP(Tableau13[[#This Row],[Code]],'Code Véhicule'!$A$4:$C$185,3,0)),"",VLOOKUP(Tableau13[[#This Row],[Code]],'Code Véhicule'!$A$4:$C$185,3,0))</f>
        <v>VOLVO</v>
      </c>
      <c r="E781" s="36" t="str">
        <f>IF(ISNA(VLOOKUP(Tableau13[[#This Row],[Code]],'Code Véhicule'!$A$4:$D$185,4,0))," ",VLOOKUP(Tableau13[[#This Row],[Code]],'Code Véhicule'!$A$4:$D$185,4,0))</f>
        <v xml:space="preserve">17886-A-73 </v>
      </c>
      <c r="F781" s="36">
        <v>25302</v>
      </c>
      <c r="G781" s="38" t="s">
        <v>560</v>
      </c>
      <c r="H781" s="38" t="s">
        <v>604</v>
      </c>
      <c r="I781" s="36" t="s">
        <v>304</v>
      </c>
      <c r="J781" s="39" t="s">
        <v>1547</v>
      </c>
      <c r="K781" s="36">
        <v>171478</v>
      </c>
      <c r="L781" s="40">
        <v>180</v>
      </c>
      <c r="M781" s="40">
        <v>180</v>
      </c>
      <c r="N781" s="41">
        <v>44501</v>
      </c>
      <c r="O781" s="45"/>
      <c r="P781" s="45"/>
      <c r="Q781" s="176" t="e">
        <f>MONTH([1]!Tableau13[[#This Row],[Date début]])</f>
        <v>#REF!</v>
      </c>
      <c r="R781" s="180" t="e">
        <f>YEAR([1]!Tableau13[[#This Row],[Date début]])</f>
        <v>#REF!</v>
      </c>
      <c r="S781" s="44"/>
      <c r="T781" s="44"/>
    </row>
    <row r="782" spans="1:20" s="75" customFormat="1" ht="135" customHeight="1">
      <c r="A782" s="35">
        <v>44501</v>
      </c>
      <c r="B782" s="36">
        <v>430</v>
      </c>
      <c r="C782" s="37" t="str">
        <f>IF(ISNA(VLOOKUP(Tableau13[[#This Row],[Code]],'Code Véhicule'!$A$4:$C$185,2,0)),"",VLOOKUP(Tableau13[[#This Row],[Code]],'Code Véhicule'!$A$4:$C$185,2,0))</f>
        <v>Chariot elevateur</v>
      </c>
      <c r="D782" s="38" t="str">
        <f>IF(ISNA(VLOOKUP(Tableau13[[#This Row],[Code]],'Code Véhicule'!$A$4:$C$185,3,0)),"",VLOOKUP(Tableau13[[#This Row],[Code]],'Code Véhicule'!$A$4:$C$185,3,0))</f>
        <v>Fenwick  H40</v>
      </c>
      <c r="E782" s="36" t="str">
        <f>IF(ISNA(VLOOKUP(Tableau13[[#This Row],[Code]],'Code Véhicule'!$A$4:$D$185,4,0))," ",VLOOKUP(Tableau13[[#This Row],[Code]],'Code Véhicule'!$A$4:$D$185,4,0))</f>
        <v>-</v>
      </c>
      <c r="F782" s="36">
        <v>25303</v>
      </c>
      <c r="G782" s="38" t="s">
        <v>1193</v>
      </c>
      <c r="H782" s="38" t="s">
        <v>1337</v>
      </c>
      <c r="I782" s="36" t="s">
        <v>304</v>
      </c>
      <c r="J782" s="39" t="s">
        <v>1525</v>
      </c>
      <c r="K782" s="36" t="s">
        <v>1548</v>
      </c>
      <c r="L782" s="40"/>
      <c r="M782" s="40" t="e">
        <f>IF(ISBLANK(Tableau13[[#This Row],[N BS]]),"",(Tableau13[[#This Row],[N BS]]-Tableau13[[#This Row],[Date début]]))</f>
        <v>#VALUE!</v>
      </c>
      <c r="N782" s="41"/>
      <c r="O782" s="45"/>
      <c r="P782" s="45"/>
      <c r="Q782" s="176" t="e">
        <f>MONTH([1]!Tableau13[[#This Row],[Date début]])</f>
        <v>#REF!</v>
      </c>
      <c r="R782" s="180" t="e">
        <f>YEAR([1]!Tableau13[[#This Row],[Date début]])</f>
        <v>#REF!</v>
      </c>
      <c r="S782" s="44"/>
      <c r="T782" s="44"/>
    </row>
    <row r="783" spans="1:20" s="75" customFormat="1" ht="23.25">
      <c r="A783" s="35">
        <v>44502</v>
      </c>
      <c r="B783" s="36">
        <v>411</v>
      </c>
      <c r="C783" s="37" t="str">
        <f>IF(ISNA(VLOOKUP(Tableau13[[#This Row],[Code]],'Code Véhicule'!$A$4:$C$185,2,0)),"",VLOOKUP(Tableau13[[#This Row],[Code]],'Code Véhicule'!$A$4:$C$185,2,0))</f>
        <v>Camion</v>
      </c>
      <c r="D783" s="38" t="str">
        <f>IF(ISNA(VLOOKUP(Tableau13[[#This Row],[Code]],'Code Véhicule'!$A$4:$C$185,3,0)),"",VLOOKUP(Tableau13[[#This Row],[Code]],'Code Véhicule'!$A$4:$C$185,3,0))</f>
        <v>Renault</v>
      </c>
      <c r="E783" s="36" t="str">
        <f>IF(ISNA(VLOOKUP(Tableau13[[#This Row],[Code]],'Code Véhicule'!$A$4:$D$185,4,0))," ",VLOOKUP(Tableau13[[#This Row],[Code]],'Code Véhicule'!$A$4:$D$185,4,0))</f>
        <v>25636-A-13</v>
      </c>
      <c r="F783" s="36">
        <v>24689</v>
      </c>
      <c r="G783" s="38" t="s">
        <v>1534</v>
      </c>
      <c r="H783" s="38" t="s">
        <v>1514</v>
      </c>
      <c r="I783" s="36" t="s">
        <v>304</v>
      </c>
      <c r="J783" s="39" t="s">
        <v>326</v>
      </c>
      <c r="K783" s="36">
        <v>11145</v>
      </c>
      <c r="L783" s="40">
        <v>570</v>
      </c>
      <c r="M783" s="40">
        <v>570</v>
      </c>
      <c r="N783" s="41">
        <v>44502</v>
      </c>
      <c r="O783" s="45"/>
      <c r="P783" s="45"/>
      <c r="Q783" s="176" t="e">
        <f>MONTH([1]!Tableau13[[#This Row],[Date début]])</f>
        <v>#REF!</v>
      </c>
      <c r="R783" s="180" t="e">
        <f>YEAR([1]!Tableau13[[#This Row],[Date début]])</f>
        <v>#REF!</v>
      </c>
      <c r="S783" s="44"/>
      <c r="T783" s="44"/>
    </row>
    <row r="784" spans="1:20" s="75" customFormat="1" ht="120" customHeight="1">
      <c r="A784" s="35">
        <v>44503</v>
      </c>
      <c r="B784" s="36">
        <v>419</v>
      </c>
      <c r="C784" s="37" t="str">
        <f>IF(ISNA(VLOOKUP(Tableau13[[#This Row],[Code]],'Code Véhicule'!$A$4:$C$185,2,0)),"",VLOOKUP(Tableau13[[#This Row],[Code]],'Code Véhicule'!$A$4:$C$185,2,0))</f>
        <v>Voiture de fonction</v>
      </c>
      <c r="D784" s="38" t="str">
        <f>IF(ISNA(VLOOKUP(Tableau13[[#This Row],[Code]],'Code Véhicule'!$A$4:$C$185,3,0)),"",VLOOKUP(Tableau13[[#This Row],[Code]],'Code Véhicule'!$A$4:$C$185,3,0))</f>
        <v>kangoo</v>
      </c>
      <c r="E784" s="36" t="str">
        <f>IF(ISNA(VLOOKUP(Tableau13[[#This Row],[Code]],'Code Véhicule'!$A$4:$D$185,4,0))," ",VLOOKUP(Tableau13[[#This Row],[Code]],'Code Véhicule'!$A$4:$D$185,4,0))</f>
        <v>4812-A-73</v>
      </c>
      <c r="F784" s="36">
        <v>24690</v>
      </c>
      <c r="G784" s="38" t="s">
        <v>393</v>
      </c>
      <c r="H784" s="38" t="s">
        <v>608</v>
      </c>
      <c r="I784" s="36" t="s">
        <v>304</v>
      </c>
      <c r="J784" s="39" t="s">
        <v>1526</v>
      </c>
      <c r="K784" s="36">
        <v>171455</v>
      </c>
      <c r="L784" s="40">
        <v>120</v>
      </c>
      <c r="M784" s="40">
        <v>120</v>
      </c>
      <c r="N784" s="41">
        <v>44503</v>
      </c>
      <c r="O784" s="45"/>
      <c r="P784" s="45"/>
      <c r="Q784" s="176" t="e">
        <f>MONTH([1]!Tableau13[[#This Row],[Date début]])</f>
        <v>#REF!</v>
      </c>
      <c r="R784" s="180" t="e">
        <f>YEAR([1]!Tableau13[[#This Row],[Date début]])</f>
        <v>#REF!</v>
      </c>
      <c r="S784" s="44"/>
      <c r="T784" s="44"/>
    </row>
    <row r="785" spans="1:20" s="75" customFormat="1" ht="45">
      <c r="A785" s="35">
        <v>44508</v>
      </c>
      <c r="B785" s="36">
        <v>471</v>
      </c>
      <c r="C785" s="37" t="str">
        <f>IF(ISNA(VLOOKUP(Tableau13[[#This Row],[Code]],'Code Véhicule'!$A$4:$C$185,2,0)),"",VLOOKUP(Tableau13[[#This Row],[Code]],'Code Véhicule'!$A$4:$C$185,2,0))</f>
        <v>Bus de transport</v>
      </c>
      <c r="D785" s="38" t="str">
        <f>IF(ISNA(VLOOKUP(Tableau13[[#This Row],[Code]],'Code Véhicule'!$A$4:$C$185,3,0)),"",VLOOKUP(Tableau13[[#This Row],[Code]],'Code Véhicule'!$A$4:$C$185,3,0))</f>
        <v xml:space="preserve">Hyundai County </v>
      </c>
      <c r="E785" s="36" t="str">
        <f>IF(ISNA(VLOOKUP(Tableau13[[#This Row],[Code]],'Code Véhicule'!$A$4:$D$185,4,0))," ",VLOOKUP(Tableau13[[#This Row],[Code]],'Code Véhicule'!$A$4:$D$185,4,0))</f>
        <v>18516-A-73</v>
      </c>
      <c r="F785" s="36">
        <v>24694</v>
      </c>
      <c r="G785" s="38" t="s">
        <v>545</v>
      </c>
      <c r="H785" s="38" t="s">
        <v>620</v>
      </c>
      <c r="I785" s="36" t="s">
        <v>304</v>
      </c>
      <c r="J785" s="39" t="s">
        <v>1532</v>
      </c>
      <c r="K785" s="36" t="s">
        <v>1533</v>
      </c>
      <c r="L785" s="40">
        <v>1140</v>
      </c>
      <c r="M785" s="40">
        <v>5700</v>
      </c>
      <c r="N785" s="41">
        <v>44519</v>
      </c>
      <c r="O785" s="45"/>
      <c r="P785" s="45"/>
      <c r="Q785" s="176" t="e">
        <f>MONTH([1]!Tableau13[[#This Row],[Date début]])</f>
        <v>#REF!</v>
      </c>
      <c r="R785" s="180" t="e">
        <f>YEAR([1]!Tableau13[[#This Row],[Date début]])</f>
        <v>#REF!</v>
      </c>
      <c r="S785" s="44"/>
      <c r="T785" s="44"/>
    </row>
    <row r="786" spans="1:20" s="75" customFormat="1" ht="45">
      <c r="A786" s="35">
        <v>44509</v>
      </c>
      <c r="B786" s="36">
        <v>432</v>
      </c>
      <c r="C786" s="37" t="str">
        <f>IF(ISNA(VLOOKUP(Tableau13[[#This Row],[Code]],'Code Véhicule'!$A$4:$C$185,2,0)),"",VLOOKUP(Tableau13[[#This Row],[Code]],'Code Véhicule'!$A$4:$C$185,2,0))</f>
        <v>Voiture de fonction</v>
      </c>
      <c r="D786" s="38" t="str">
        <f>IF(ISNA(VLOOKUP(Tableau13[[#This Row],[Code]],'Code Véhicule'!$A$4:$C$185,3,0)),"",VLOOKUP(Tableau13[[#This Row],[Code]],'Code Véhicule'!$A$4:$C$185,3,0))</f>
        <v>Berlingo</v>
      </c>
      <c r="E786" s="36" t="str">
        <f>IF(ISNA(VLOOKUP(Tableau13[[#This Row],[Code]],'Code Véhicule'!$A$4:$D$185,4,0))," ",VLOOKUP(Tableau13[[#This Row],[Code]],'Code Véhicule'!$A$4:$D$185,4,0))</f>
        <v xml:space="preserve"> 9660 -A-73</v>
      </c>
      <c r="F786" s="36">
        <v>24691</v>
      </c>
      <c r="G786" s="38" t="s">
        <v>393</v>
      </c>
      <c r="H786" s="38" t="s">
        <v>608</v>
      </c>
      <c r="I786" s="36" t="s">
        <v>304</v>
      </c>
      <c r="J786" s="39" t="s">
        <v>1527</v>
      </c>
      <c r="K786" s="36">
        <v>171691</v>
      </c>
      <c r="L786" s="40">
        <v>120</v>
      </c>
      <c r="M786" s="40">
        <v>120</v>
      </c>
      <c r="N786" s="41">
        <v>44509</v>
      </c>
      <c r="O786" s="45"/>
      <c r="P786" s="45"/>
      <c r="Q786" s="176" t="e">
        <f>MONTH([1]!Tableau13[[#This Row],[Date début]])</f>
        <v>#REF!</v>
      </c>
      <c r="R786" s="180" t="e">
        <f>YEAR([1]!Tableau13[[#This Row],[Date début]])</f>
        <v>#REF!</v>
      </c>
      <c r="S786" s="44"/>
      <c r="T786" s="44"/>
    </row>
    <row r="787" spans="1:20" s="75" customFormat="1" ht="30">
      <c r="A787" s="35">
        <v>44511</v>
      </c>
      <c r="B787" s="36">
        <v>7</v>
      </c>
      <c r="C787" s="37" t="s">
        <v>429</v>
      </c>
      <c r="D787" s="38" t="s">
        <v>430</v>
      </c>
      <c r="E787" s="36" t="str">
        <f>IF(ISNA(VLOOKUP(Tableau13[[#This Row],[Code]],'Code Véhicule'!$A$4:$D$185,4,0))," ",VLOOKUP(Tableau13[[#This Row],[Code]],'Code Véhicule'!$A$4:$D$185,4,0))</f>
        <v>50313-A-6</v>
      </c>
      <c r="F787" s="36">
        <v>25301</v>
      </c>
      <c r="G787" s="38" t="s">
        <v>610</v>
      </c>
      <c r="H787" s="38" t="s">
        <v>737</v>
      </c>
      <c r="I787" s="36" t="s">
        <v>304</v>
      </c>
      <c r="J787" s="39" t="s">
        <v>1546</v>
      </c>
      <c r="K787" s="36">
        <v>171477</v>
      </c>
      <c r="L787" s="40">
        <v>180</v>
      </c>
      <c r="M787" s="40">
        <v>180</v>
      </c>
      <c r="N787" s="41">
        <v>44541</v>
      </c>
      <c r="O787" s="45"/>
      <c r="P787" s="45"/>
      <c r="Q787" s="176" t="e">
        <f>MONTH([1]!Tableau13[[#This Row],[Date début]])</f>
        <v>#REF!</v>
      </c>
      <c r="R787" s="180" t="e">
        <f>YEAR([1]!Tableau13[[#This Row],[Date début]])</f>
        <v>#REF!</v>
      </c>
      <c r="S787" s="44"/>
      <c r="T787" s="44"/>
    </row>
    <row r="788" spans="1:20" s="75" customFormat="1" ht="23.25">
      <c r="A788" s="35">
        <v>44511</v>
      </c>
      <c r="B788" s="36">
        <v>481</v>
      </c>
      <c r="C788" s="37" t="str">
        <f>IF(ISNA(VLOOKUP(Tableau13[[#This Row],[Code]],'Code Véhicule'!$A$4:$C$185,2,0)),"",VLOOKUP(Tableau13[[#This Row],[Code]],'Code Véhicule'!$A$4:$C$185,2,0))</f>
        <v>Camion</v>
      </c>
      <c r="D788" s="38" t="str">
        <f>IF(ISNA(VLOOKUP(Tableau13[[#This Row],[Code]],'Code Véhicule'!$A$4:$C$185,3,0)),"",VLOOKUP(Tableau13[[#This Row],[Code]],'Code Véhicule'!$A$4:$C$185,3,0))</f>
        <v>VOLVO</v>
      </c>
      <c r="E788" s="36" t="str">
        <f>IF(ISNA(VLOOKUP(Tableau13[[#This Row],[Code]],'Code Véhicule'!$A$4:$D$185,4,0))," ",VLOOKUP(Tableau13[[#This Row],[Code]],'Code Véhicule'!$A$4:$D$185,4,0))</f>
        <v>22300-A-73</v>
      </c>
      <c r="F788" s="36">
        <v>25304</v>
      </c>
      <c r="G788" s="38" t="s">
        <v>560</v>
      </c>
      <c r="H788" s="38" t="s">
        <v>604</v>
      </c>
      <c r="I788" s="36" t="s">
        <v>304</v>
      </c>
      <c r="J788" s="39" t="s">
        <v>530</v>
      </c>
      <c r="K788" s="36">
        <v>171480</v>
      </c>
      <c r="L788" s="40">
        <v>120</v>
      </c>
      <c r="M788" s="40">
        <v>120</v>
      </c>
      <c r="N788" s="41">
        <v>44511</v>
      </c>
      <c r="O788" s="45"/>
      <c r="P788" s="45"/>
      <c r="Q788" s="176" t="e">
        <f>MONTH([1]!Tableau13[[#This Row],[Date début]])</f>
        <v>#REF!</v>
      </c>
      <c r="R788" s="180" t="e">
        <f>YEAR([1]!Tableau13[[#This Row],[Date début]])</f>
        <v>#REF!</v>
      </c>
      <c r="S788" s="44"/>
      <c r="T788" s="44"/>
    </row>
    <row r="789" spans="1:20" s="75" customFormat="1" ht="45">
      <c r="A789" s="35">
        <v>44511</v>
      </c>
      <c r="B789" s="36">
        <v>420</v>
      </c>
      <c r="C789" s="37" t="s">
        <v>434</v>
      </c>
      <c r="D789" s="38" t="s">
        <v>1549</v>
      </c>
      <c r="E789" s="36">
        <f>IF(ISNA(VLOOKUP(Tableau13[[#This Row],[Code]],'Code Véhicule'!$A$4:$D$185,4,0))," ",VLOOKUP(Tableau13[[#This Row],[Code]],'Code Véhicule'!$A$4:$D$185,4,0))</f>
        <v>0</v>
      </c>
      <c r="F789" s="36">
        <v>25305</v>
      </c>
      <c r="G789" s="38" t="s">
        <v>511</v>
      </c>
      <c r="H789" s="38" t="s">
        <v>687</v>
      </c>
      <c r="I789" s="36" t="s">
        <v>304</v>
      </c>
      <c r="J789" s="39" t="s">
        <v>1550</v>
      </c>
      <c r="K789" s="36">
        <v>171482</v>
      </c>
      <c r="L789" s="40">
        <v>570</v>
      </c>
      <c r="M789" s="40">
        <v>570</v>
      </c>
      <c r="N789" s="41">
        <v>44513</v>
      </c>
      <c r="O789" s="45"/>
      <c r="P789" s="45"/>
      <c r="Q789" s="176" t="e">
        <f>MONTH([1]!Tableau13[[#This Row],[Date début]])</f>
        <v>#REF!</v>
      </c>
      <c r="R789" s="180" t="e">
        <f>YEAR([1]!Tableau13[[#This Row],[Date début]])</f>
        <v>#REF!</v>
      </c>
      <c r="S789" s="44"/>
      <c r="T789" s="44"/>
    </row>
    <row r="790" spans="1:20" s="75" customFormat="1" ht="75">
      <c r="A790" s="35">
        <v>44512</v>
      </c>
      <c r="B790" s="36">
        <v>435</v>
      </c>
      <c r="C790" s="37" t="str">
        <f>IF(ISNA(VLOOKUP(Tableau13[[#This Row],[Code]],'Code Véhicule'!$A$4:$C$185,2,0)),"",VLOOKUP(Tableau13[[#This Row],[Code]],'Code Véhicule'!$A$4:$C$185,2,0))</f>
        <v>Camion</v>
      </c>
      <c r="D790" s="38" t="str">
        <f>IF(ISNA(VLOOKUP(Tableau13[[#This Row],[Code]],'Code Véhicule'!$A$4:$C$185,3,0)),"",VLOOKUP(Tableau13[[#This Row],[Code]],'Code Véhicule'!$A$4:$C$185,3,0))</f>
        <v>Mitsubishi</v>
      </c>
      <c r="E790" s="36" t="str">
        <f>IF(ISNA(VLOOKUP(Tableau13[[#This Row],[Code]],'Code Véhicule'!$A$4:$D$185,4,0))," ",VLOOKUP(Tableau13[[#This Row],[Code]],'Code Véhicule'!$A$4:$D$185,4,0))</f>
        <v xml:space="preserve"> 11469-A-73</v>
      </c>
      <c r="F790" s="36">
        <v>24700</v>
      </c>
      <c r="G790" s="38" t="s">
        <v>493</v>
      </c>
      <c r="H790" s="38" t="s">
        <v>799</v>
      </c>
      <c r="I790" s="36" t="s">
        <v>304</v>
      </c>
      <c r="J790" s="39" t="s">
        <v>1544</v>
      </c>
      <c r="K790" s="36" t="s">
        <v>1545</v>
      </c>
      <c r="L790" s="40">
        <v>2280</v>
      </c>
      <c r="M790" s="40">
        <f>570*5</f>
        <v>2850</v>
      </c>
      <c r="N790" s="41">
        <v>44517</v>
      </c>
      <c r="O790" s="45"/>
      <c r="P790" s="45"/>
      <c r="Q790" s="176" t="e">
        <f>MONTH([1]!Tableau13[[#This Row],[Date début]])</f>
        <v>#REF!</v>
      </c>
      <c r="R790" s="180" t="e">
        <f>YEAR([1]!Tableau13[[#This Row],[Date début]])</f>
        <v>#REF!</v>
      </c>
      <c r="S790" s="44"/>
      <c r="T790" s="44"/>
    </row>
    <row r="791" spans="1:20" s="75" customFormat="1" ht="23.25">
      <c r="A791" s="35">
        <v>44512</v>
      </c>
      <c r="B791" s="36">
        <v>411</v>
      </c>
      <c r="C791" s="37" t="str">
        <f>IF(ISNA(VLOOKUP(Tableau13[[#This Row],[Code]],'Code Véhicule'!$A$4:$C$185,2,0)),"",VLOOKUP(Tableau13[[#This Row],[Code]],'Code Véhicule'!$A$4:$C$185,2,0))</f>
        <v>Camion</v>
      </c>
      <c r="D791" s="38" t="str">
        <f>IF(ISNA(VLOOKUP(Tableau13[[#This Row],[Code]],'Code Véhicule'!$A$4:$C$185,3,0)),"",VLOOKUP(Tableau13[[#This Row],[Code]],'Code Véhicule'!$A$4:$C$185,3,0))</f>
        <v>Renault</v>
      </c>
      <c r="E791" s="36" t="str">
        <f>IF(ISNA(VLOOKUP(Tableau13[[#This Row],[Code]],'Code Véhicule'!$A$4:$D$185,4,0))," ",VLOOKUP(Tableau13[[#This Row],[Code]],'Code Véhicule'!$A$4:$D$185,4,0))</f>
        <v>25636-A-13</v>
      </c>
      <c r="F791" s="36">
        <v>25306</v>
      </c>
      <c r="G791" s="38" t="s">
        <v>560</v>
      </c>
      <c r="H791" s="38" t="s">
        <v>604</v>
      </c>
      <c r="I791" s="36" t="s">
        <v>304</v>
      </c>
      <c r="J791" s="39" t="s">
        <v>756</v>
      </c>
      <c r="K791" s="36">
        <v>171483</v>
      </c>
      <c r="L791" s="40">
        <v>180</v>
      </c>
      <c r="M791" s="40">
        <v>180</v>
      </c>
      <c r="N791" s="41">
        <v>44512</v>
      </c>
      <c r="O791" s="45"/>
      <c r="P791" s="45"/>
      <c r="Q791" s="176" t="e">
        <f>MONTH([1]!Tableau13[[#This Row],[Date début]])</f>
        <v>#REF!</v>
      </c>
      <c r="R791" s="180" t="e">
        <f>YEAR([1]!Tableau13[[#This Row],[Date début]])</f>
        <v>#REF!</v>
      </c>
      <c r="S791" s="44"/>
      <c r="T791" s="44"/>
    </row>
    <row r="792" spans="1:20" s="75" customFormat="1" ht="90">
      <c r="A792" s="35">
        <v>44512</v>
      </c>
      <c r="B792" s="36">
        <v>408</v>
      </c>
      <c r="C792" s="37" t="str">
        <f>IF(ISNA(VLOOKUP(Tableau13[[#This Row],[Code]],'Code Véhicule'!$A$4:$C$185,2,0)),"",VLOOKUP(Tableau13[[#This Row],[Code]],'Code Véhicule'!$A$4:$C$185,2,0))</f>
        <v>Camion</v>
      </c>
      <c r="D792" s="38" t="str">
        <f>IF(ISNA(VLOOKUP(Tableau13[[#This Row],[Code]],'Code Véhicule'!$A$4:$C$185,3,0)),"",VLOOKUP(Tableau13[[#This Row],[Code]],'Code Véhicule'!$A$4:$C$185,3,0))</f>
        <v>Mitsubishi</v>
      </c>
      <c r="E792" s="36" t="str">
        <f>IF(ISNA(VLOOKUP(Tableau13[[#This Row],[Code]],'Code Véhicule'!$A$4:$D$185,4,0))," ",VLOOKUP(Tableau13[[#This Row],[Code]],'Code Véhicule'!$A$4:$D$185,4,0))</f>
        <v>4703-A-73</v>
      </c>
      <c r="F792" s="36">
        <v>25307</v>
      </c>
      <c r="G792" s="38" t="s">
        <v>1146</v>
      </c>
      <c r="H792" s="38" t="s">
        <v>1551</v>
      </c>
      <c r="I792" s="36" t="s">
        <v>304</v>
      </c>
      <c r="J792" s="39" t="s">
        <v>1552</v>
      </c>
      <c r="K792" s="36">
        <v>171486</v>
      </c>
      <c r="L792" s="40">
        <v>5444</v>
      </c>
      <c r="M792" s="40">
        <v>5444</v>
      </c>
      <c r="N792" s="41">
        <v>44518</v>
      </c>
      <c r="O792" s="45"/>
      <c r="P792" s="45"/>
      <c r="Q792" s="176" t="e">
        <f>MONTH([1]!Tableau13[[#This Row],[Date début]])</f>
        <v>#REF!</v>
      </c>
      <c r="R792" s="180" t="e">
        <f>YEAR([1]!Tableau13[[#This Row],[Date début]])</f>
        <v>#REF!</v>
      </c>
      <c r="S792" s="44"/>
      <c r="T792" s="44"/>
    </row>
    <row r="793" spans="1:20" s="75" customFormat="1" ht="23.25">
      <c r="A793" s="35">
        <v>44515</v>
      </c>
      <c r="B793" s="36">
        <v>407</v>
      </c>
      <c r="C793" s="37" t="str">
        <f>IF(ISNA(VLOOKUP(Tableau13[[#This Row],[Code]],'Code Véhicule'!$A$4:$C$185,2,0)),"",VLOOKUP(Tableau13[[#This Row],[Code]],'Code Véhicule'!$A$4:$C$185,2,0))</f>
        <v>Semi remorque</v>
      </c>
      <c r="D793" s="38" t="str">
        <f>IF(ISNA(VLOOKUP(Tableau13[[#This Row],[Code]],'Code Véhicule'!$A$4:$C$185,3,0)),"",VLOOKUP(Tableau13[[#This Row],[Code]],'Code Véhicule'!$A$4:$C$185,3,0))</f>
        <v>MAN</v>
      </c>
      <c r="E793" s="36" t="str">
        <f>IF(ISNA(VLOOKUP(Tableau13[[#This Row],[Code]],'Code Véhicule'!$A$4:$D$185,4,0))," ",VLOOKUP(Tableau13[[#This Row],[Code]],'Code Véhicule'!$A$4:$D$185,4,0))</f>
        <v>706-A-73</v>
      </c>
      <c r="F793" s="36">
        <v>24697</v>
      </c>
      <c r="G793" s="38" t="s">
        <v>511</v>
      </c>
      <c r="H793" s="38" t="s">
        <v>1071</v>
      </c>
      <c r="I793" s="36" t="s">
        <v>304</v>
      </c>
      <c r="J793" s="39" t="s">
        <v>1541</v>
      </c>
      <c r="K793" s="36">
        <v>171462</v>
      </c>
      <c r="L793" s="40">
        <v>360</v>
      </c>
      <c r="M793" s="40">
        <v>360</v>
      </c>
      <c r="N793" s="41">
        <v>44515</v>
      </c>
      <c r="O793" s="45"/>
      <c r="P793" s="45"/>
      <c r="Q793" s="176" t="e">
        <f>MONTH([1]!Tableau13[[#This Row],[Date début]])</f>
        <v>#REF!</v>
      </c>
      <c r="R793" s="180" t="e">
        <f>YEAR([1]!Tableau13[[#This Row],[Date début]])</f>
        <v>#REF!</v>
      </c>
      <c r="S793" s="44"/>
      <c r="T793" s="44"/>
    </row>
    <row r="794" spans="1:20" s="75" customFormat="1" ht="90">
      <c r="A794" s="35">
        <v>44517</v>
      </c>
      <c r="B794" s="36">
        <v>479</v>
      </c>
      <c r="C794" s="37" t="str">
        <f>IF(ISNA(VLOOKUP(Tableau13[[#This Row],[Code]],'Code Véhicule'!$A$4:$C$185,2,0)),"",VLOOKUP(Tableau13[[#This Row],[Code]],'Code Véhicule'!$A$4:$C$185,2,0))</f>
        <v>Bus de transport</v>
      </c>
      <c r="D794" s="38" t="str">
        <f>IF(ISNA(VLOOKUP(Tableau13[[#This Row],[Code]],'Code Véhicule'!$A$4:$C$185,3,0)),"",VLOOKUP(Tableau13[[#This Row],[Code]],'Code Véhicule'!$A$4:$C$185,3,0))</f>
        <v>Hyundai County</v>
      </c>
      <c r="E794" s="36" t="str">
        <f>IF(ISNA(VLOOKUP(Tableau13[[#This Row],[Code]],'Code Véhicule'!$A$4:$D$185,4,0))," ",VLOOKUP(Tableau13[[#This Row],[Code]],'Code Véhicule'!$A$4:$D$185,4,0))</f>
        <v>22772-A-73</v>
      </c>
      <c r="F794" s="36">
        <v>25308</v>
      </c>
      <c r="G794" s="38" t="s">
        <v>313</v>
      </c>
      <c r="H794" s="38" t="s">
        <v>846</v>
      </c>
      <c r="I794" s="36" t="s">
        <v>304</v>
      </c>
      <c r="J794" s="39" t="s">
        <v>1553</v>
      </c>
      <c r="K794" s="36" t="s">
        <v>1554</v>
      </c>
      <c r="L794" s="40">
        <v>3750</v>
      </c>
      <c r="M794" s="40">
        <v>6000</v>
      </c>
      <c r="N794" s="41">
        <v>44528</v>
      </c>
      <c r="O794" s="45"/>
      <c r="P794" s="45"/>
      <c r="Q794" s="176" t="e">
        <f>MONTH([1]!Tableau13[[#This Row],[Date début]])</f>
        <v>#REF!</v>
      </c>
      <c r="R794" s="180" t="e">
        <f>YEAR([1]!Tableau13[[#This Row],[Date début]])</f>
        <v>#REF!</v>
      </c>
      <c r="S794" s="44"/>
      <c r="T794" s="44"/>
    </row>
    <row r="795" spans="1:20" s="75" customFormat="1" ht="23.25">
      <c r="A795" s="35">
        <v>44517</v>
      </c>
      <c r="B795" s="36">
        <v>426</v>
      </c>
      <c r="C795" s="37" t="str">
        <f>IF(ISNA(VLOOKUP(Tableau13[[#This Row],[Code]],'Code Véhicule'!$A$4:$C$185,2,0)),"",VLOOKUP(Tableau13[[#This Row],[Code]],'Code Véhicule'!$A$4:$C$185,2,0))</f>
        <v>Chariot elevateur</v>
      </c>
      <c r="D795" s="38" t="str">
        <f>IF(ISNA(VLOOKUP(Tableau13[[#This Row],[Code]],'Code Véhicule'!$A$4:$C$185,3,0)),"",VLOOKUP(Tableau13[[#This Row],[Code]],'Code Véhicule'!$A$4:$C$185,3,0))</f>
        <v>Manitou MC 30</v>
      </c>
      <c r="E795" s="36" t="str">
        <f>IF(ISNA(VLOOKUP(Tableau13[[#This Row],[Code]],'Code Véhicule'!$A$4:$D$185,4,0))," ",VLOOKUP(Tableau13[[#This Row],[Code]],'Code Véhicule'!$A$4:$D$185,4,0))</f>
        <v>-</v>
      </c>
      <c r="F795" s="36">
        <v>25309</v>
      </c>
      <c r="G795" s="38" t="s">
        <v>560</v>
      </c>
      <c r="H795" s="38" t="s">
        <v>604</v>
      </c>
      <c r="I795" s="36" t="s">
        <v>304</v>
      </c>
      <c r="J795" s="39" t="s">
        <v>1555</v>
      </c>
      <c r="K795" s="36">
        <v>172757</v>
      </c>
      <c r="L795" s="40">
        <v>120</v>
      </c>
      <c r="M795" s="40">
        <v>120</v>
      </c>
      <c r="N795" s="41">
        <v>44517</v>
      </c>
      <c r="O795" s="45"/>
      <c r="P795" s="45"/>
      <c r="Q795" s="176" t="e">
        <f>MONTH([1]!Tableau13[[#This Row],[Date début]])</f>
        <v>#REF!</v>
      </c>
      <c r="R795" s="180" t="e">
        <f>YEAR([1]!Tableau13[[#This Row],[Date début]])</f>
        <v>#REF!</v>
      </c>
      <c r="S795" s="44"/>
      <c r="T795" s="44"/>
    </row>
    <row r="796" spans="1:20" s="75" customFormat="1" ht="150">
      <c r="A796" s="35">
        <v>44517</v>
      </c>
      <c r="B796" s="36">
        <v>479</v>
      </c>
      <c r="C796" s="37" t="str">
        <f>IF(ISNA(VLOOKUP(Tableau13[[#This Row],[Code]],'Code Véhicule'!$A$4:$C$185,2,0)),"",VLOOKUP(Tableau13[[#This Row],[Code]],'Code Véhicule'!$A$4:$C$185,2,0))</f>
        <v>Bus de transport</v>
      </c>
      <c r="D796" s="38" t="str">
        <f>IF(ISNA(VLOOKUP(Tableau13[[#This Row],[Code]],'Code Véhicule'!$A$4:$C$185,3,0)),"",VLOOKUP(Tableau13[[#This Row],[Code]],'Code Véhicule'!$A$4:$C$185,3,0))</f>
        <v>Hyundai County</v>
      </c>
      <c r="E796" s="36" t="str">
        <f>IF(ISNA(VLOOKUP(Tableau13[[#This Row],[Code]],'Code Véhicule'!$A$4:$D$185,4,0))," ",VLOOKUP(Tableau13[[#This Row],[Code]],'Code Véhicule'!$A$4:$D$185,4,0))</f>
        <v>22772-A-73</v>
      </c>
      <c r="F796" s="36">
        <v>25320</v>
      </c>
      <c r="G796" s="38" t="s">
        <v>610</v>
      </c>
      <c r="H796" s="38" t="s">
        <v>955</v>
      </c>
      <c r="I796" s="36" t="s">
        <v>304</v>
      </c>
      <c r="J796" s="39" t="s">
        <v>1567</v>
      </c>
      <c r="K796" s="36" t="s">
        <v>1568</v>
      </c>
      <c r="L796" s="40">
        <v>2850</v>
      </c>
      <c r="M796" s="40">
        <v>3420</v>
      </c>
      <c r="N796" s="41">
        <v>44529</v>
      </c>
      <c r="O796" s="45"/>
      <c r="P796" s="45"/>
      <c r="Q796" s="176" t="e">
        <f>MONTH([1]!Tableau13[[#This Row],[Date début]])</f>
        <v>#REF!</v>
      </c>
      <c r="R796" s="180" t="e">
        <f>YEAR([1]!Tableau13[[#This Row],[Date début]])</f>
        <v>#REF!</v>
      </c>
      <c r="S796" s="44"/>
      <c r="T796" s="44"/>
    </row>
    <row r="797" spans="1:20" s="75" customFormat="1" ht="23.25">
      <c r="A797" s="35">
        <v>44518</v>
      </c>
      <c r="B797" s="36">
        <v>413</v>
      </c>
      <c r="C797" s="37" t="str">
        <f>IF(ISNA(VLOOKUP(Tableau13[[#This Row],[Code]],'Code Véhicule'!$A$4:$C$185,2,0)),"",VLOOKUP(Tableau13[[#This Row],[Code]],'Code Véhicule'!$A$4:$C$185,2,0))</f>
        <v>Chargeur</v>
      </c>
      <c r="D797" s="38" t="str">
        <f>IF(ISNA(VLOOKUP(Tableau13[[#This Row],[Code]],'Code Véhicule'!$A$4:$C$185,3,0)),"",VLOOKUP(Tableau13[[#This Row],[Code]],'Code Véhicule'!$A$4:$C$185,3,0))</f>
        <v>Caterpillar</v>
      </c>
      <c r="E797" s="36" t="str">
        <f>IF(ISNA(VLOOKUP(Tableau13[[#This Row],[Code]],'Code Véhicule'!$A$4:$D$185,4,0))," ",VLOOKUP(Tableau13[[#This Row],[Code]],'Code Véhicule'!$A$4:$D$185,4,0))</f>
        <v>-</v>
      </c>
      <c r="F797" s="36">
        <v>25313</v>
      </c>
      <c r="G797" s="38" t="s">
        <v>353</v>
      </c>
      <c r="H797" s="38" t="s">
        <v>1560</v>
      </c>
      <c r="I797" s="36" t="s">
        <v>304</v>
      </c>
      <c r="J797" s="39" t="s">
        <v>1561</v>
      </c>
      <c r="K797" s="36">
        <v>172755</v>
      </c>
      <c r="L797" s="40">
        <v>120</v>
      </c>
      <c r="M797" s="40">
        <v>120</v>
      </c>
      <c r="N797" s="41">
        <v>44518</v>
      </c>
      <c r="O797" s="45"/>
      <c r="P797" s="45"/>
      <c r="Q797" s="176" t="e">
        <f>MONTH([1]!Tableau13[[#This Row],[Date début]])</f>
        <v>#REF!</v>
      </c>
      <c r="R797" s="180" t="e">
        <f>YEAR([1]!Tableau13[[#This Row],[Date début]])</f>
        <v>#REF!</v>
      </c>
      <c r="S797" s="44"/>
      <c r="T797" s="44"/>
    </row>
    <row r="798" spans="1:20" s="75" customFormat="1" ht="30">
      <c r="A798" s="35">
        <v>44520</v>
      </c>
      <c r="B798" s="36">
        <v>410</v>
      </c>
      <c r="C798" s="37" t="str">
        <f>IF(ISNA(VLOOKUP(Tableau13[[#This Row],[Code]],'Code Véhicule'!$A$4:$C$185,2,0)),"",VLOOKUP(Tableau13[[#This Row],[Code]],'Code Véhicule'!$A$4:$C$185,2,0))</f>
        <v>Semi remorque</v>
      </c>
      <c r="D798" s="38" t="str">
        <f>IF(ISNA(VLOOKUP(Tableau13[[#This Row],[Code]],'Code Véhicule'!$A$4:$C$185,3,0)),"",VLOOKUP(Tableau13[[#This Row],[Code]],'Code Véhicule'!$A$4:$C$185,3,0))</f>
        <v>MAN</v>
      </c>
      <c r="E798" s="36" t="str">
        <f>IF(ISNA(VLOOKUP(Tableau13[[#This Row],[Code]],'Code Véhicule'!$A$4:$D$185,4,0))," ",VLOOKUP(Tableau13[[#This Row],[Code]],'Code Véhicule'!$A$4:$D$185,4,0))</f>
        <v xml:space="preserve">28659-D-1 </v>
      </c>
      <c r="F798" s="36">
        <v>25311</v>
      </c>
      <c r="G798" s="38" t="s">
        <v>511</v>
      </c>
      <c r="H798" s="38" t="s">
        <v>1558</v>
      </c>
      <c r="I798" s="36" t="s">
        <v>322</v>
      </c>
      <c r="J798" s="39" t="s">
        <v>1559</v>
      </c>
      <c r="K798" s="36">
        <v>172766</v>
      </c>
      <c r="L798" s="40">
        <v>120</v>
      </c>
      <c r="M798" s="40">
        <v>120</v>
      </c>
      <c r="N798" s="41">
        <v>44520</v>
      </c>
      <c r="O798" s="45"/>
      <c r="P798" s="45"/>
      <c r="Q798" s="176" t="e">
        <f>MONTH([1]!Tableau13[[#This Row],[Date début]])</f>
        <v>#REF!</v>
      </c>
      <c r="R798" s="180" t="e">
        <f>YEAR([1]!Tableau13[[#This Row],[Date début]])</f>
        <v>#REF!</v>
      </c>
      <c r="S798" s="44"/>
      <c r="T798" s="44"/>
    </row>
    <row r="799" spans="1:20" s="75" customFormat="1" ht="45">
      <c r="A799" s="35">
        <v>44520</v>
      </c>
      <c r="B799" s="36" t="s">
        <v>1199</v>
      </c>
      <c r="C799" s="37" t="str">
        <f>IF(ISNA(VLOOKUP(Tableau13[[#This Row],[Code]],'Code Véhicule'!$A$4:$C$185,2,0)),"",VLOOKUP(Tableau13[[#This Row],[Code]],'Code Véhicule'!$A$4:$C$185,2,0))</f>
        <v>Chargeur</v>
      </c>
      <c r="D799" s="38" t="str">
        <f>IF(ISNA(VLOOKUP(Tableau13[[#This Row],[Code]],'Code Véhicule'!$A$4:$C$185,3,0)),"",VLOOKUP(Tableau13[[#This Row],[Code]],'Code Véhicule'!$A$4:$C$185,3,0))</f>
        <v>Caterpillar</v>
      </c>
      <c r="E799" s="36" t="str">
        <f>IF(ISNA(VLOOKUP(Tableau13[[#This Row],[Code]],'Code Véhicule'!$A$4:$D$185,4,0))," ",VLOOKUP(Tableau13[[#This Row],[Code]],'Code Véhicule'!$A$4:$D$185,4,0))</f>
        <v>-</v>
      </c>
      <c r="F799" s="36">
        <v>25316</v>
      </c>
      <c r="G799" s="38" t="s">
        <v>393</v>
      </c>
      <c r="H799" s="38" t="s">
        <v>608</v>
      </c>
      <c r="I799" s="36" t="s">
        <v>304</v>
      </c>
      <c r="J799" s="39" t="s">
        <v>1563</v>
      </c>
      <c r="K799" s="36">
        <v>172772</v>
      </c>
      <c r="L799" s="40">
        <v>120</v>
      </c>
      <c r="M799" s="40">
        <v>360</v>
      </c>
      <c r="N799" s="41">
        <v>44522</v>
      </c>
      <c r="O799" s="45"/>
      <c r="P799" s="45"/>
      <c r="Q799" s="176" t="e">
        <f>MONTH([1]!Tableau13[[#This Row],[Date début]])</f>
        <v>#REF!</v>
      </c>
      <c r="R799" s="180" t="e">
        <f>YEAR([1]!Tableau13[[#This Row],[Date début]])</f>
        <v>#REF!</v>
      </c>
      <c r="S799" s="44"/>
      <c r="T799" s="44"/>
    </row>
    <row r="800" spans="1:20" s="75" customFormat="1" ht="45">
      <c r="A800" s="35">
        <v>44522</v>
      </c>
      <c r="B800" s="36">
        <v>407</v>
      </c>
      <c r="C800" s="37" t="str">
        <f>IF(ISNA(VLOOKUP(Tableau13[[#This Row],[Code]],'Code Véhicule'!$A$4:$C$185,2,0)),"",VLOOKUP(Tableau13[[#This Row],[Code]],'Code Véhicule'!$A$4:$C$185,2,0))</f>
        <v>Semi remorque</v>
      </c>
      <c r="D800" s="38" t="str">
        <f>IF(ISNA(VLOOKUP(Tableau13[[#This Row],[Code]],'Code Véhicule'!$A$4:$C$185,3,0)),"",VLOOKUP(Tableau13[[#This Row],[Code]],'Code Véhicule'!$A$4:$C$185,3,0))</f>
        <v>MAN</v>
      </c>
      <c r="E800" s="36" t="str">
        <f>IF(ISNA(VLOOKUP(Tableau13[[#This Row],[Code]],'Code Véhicule'!$A$4:$D$185,4,0))," ",VLOOKUP(Tableau13[[#This Row],[Code]],'Code Véhicule'!$A$4:$D$185,4,0))</f>
        <v>706-A-73</v>
      </c>
      <c r="F800" s="36">
        <v>25318</v>
      </c>
      <c r="G800" s="38" t="s">
        <v>1504</v>
      </c>
      <c r="H800" s="38" t="s">
        <v>1564</v>
      </c>
      <c r="I800" s="36" t="s">
        <v>304</v>
      </c>
      <c r="J800" s="39" t="s">
        <v>1565</v>
      </c>
      <c r="K800" s="36" t="s">
        <v>1566</v>
      </c>
      <c r="L800" s="40">
        <v>1140</v>
      </c>
      <c r="M800" s="40">
        <v>1140</v>
      </c>
      <c r="N800" s="41">
        <v>44524</v>
      </c>
      <c r="O800" s="45"/>
      <c r="P800" s="45"/>
      <c r="Q800" s="176" t="e">
        <f>MONTH([1]!Tableau13[[#This Row],[Date début]])</f>
        <v>#REF!</v>
      </c>
      <c r="R800" s="180" t="e">
        <f>YEAR([1]!Tableau13[[#This Row],[Date début]])</f>
        <v>#REF!</v>
      </c>
      <c r="S800" s="44"/>
      <c r="T800" s="44"/>
    </row>
    <row r="801" spans="1:20" s="75" customFormat="1" ht="60">
      <c r="A801" s="35">
        <v>44524</v>
      </c>
      <c r="B801" s="36">
        <v>426</v>
      </c>
      <c r="C801" s="37" t="str">
        <f>IF(ISNA(VLOOKUP(Tableau13[[#This Row],[Code]],'Code Véhicule'!$A$4:$C$185,2,0)),"",VLOOKUP(Tableau13[[#This Row],[Code]],'Code Véhicule'!$A$4:$C$185,2,0))</f>
        <v>Chariot elevateur</v>
      </c>
      <c r="D801" s="38" t="str">
        <f>IF(ISNA(VLOOKUP(Tableau13[[#This Row],[Code]],'Code Véhicule'!$A$4:$C$185,3,0)),"",VLOOKUP(Tableau13[[#This Row],[Code]],'Code Véhicule'!$A$4:$C$185,3,0))</f>
        <v>Manitou MC 30</v>
      </c>
      <c r="E801" s="36" t="str">
        <f>IF(ISNA(VLOOKUP(Tableau13[[#This Row],[Code]],'Code Véhicule'!$A$4:$D$185,4,0))," ",VLOOKUP(Tableau13[[#This Row],[Code]],'Code Véhicule'!$A$4:$D$185,4,0))</f>
        <v>-</v>
      </c>
      <c r="F801" s="36">
        <v>25329</v>
      </c>
      <c r="G801" s="38" t="s">
        <v>537</v>
      </c>
      <c r="H801" s="38" t="s">
        <v>1580</v>
      </c>
      <c r="I801" s="36" t="s">
        <v>304</v>
      </c>
      <c r="J801" s="39" t="s">
        <v>1581</v>
      </c>
      <c r="K801" s="36" t="s">
        <v>1582</v>
      </c>
      <c r="L801" s="40">
        <v>4560</v>
      </c>
      <c r="M801" s="40">
        <v>8550</v>
      </c>
      <c r="N801" s="41">
        <v>44542</v>
      </c>
      <c r="O801" s="45"/>
      <c r="P801" s="45"/>
      <c r="Q801" s="176" t="e">
        <f>MONTH([1]!Tableau13[[#This Row],[Date début]])</f>
        <v>#REF!</v>
      </c>
      <c r="R801" s="180" t="e">
        <f>YEAR([1]!Tableau13[[#This Row],[Date début]])</f>
        <v>#REF!</v>
      </c>
      <c r="S801" s="44"/>
      <c r="T801" s="44"/>
    </row>
    <row r="802" spans="1:20" s="75" customFormat="1" ht="23.25">
      <c r="A802" s="35">
        <v>44525</v>
      </c>
      <c r="B802" s="36">
        <v>403</v>
      </c>
      <c r="C802" s="37" t="str">
        <f>IF(ISNA(VLOOKUP(Tableau13[[#This Row],[Code]],'Code Véhicule'!$A$4:$C$185,2,0)),"",VLOOKUP(Tableau13[[#This Row],[Code]],'Code Véhicule'!$A$4:$C$185,2,0))</f>
        <v>Camion</v>
      </c>
      <c r="D802" s="38" t="str">
        <f>IF(ISNA(VLOOKUP(Tableau13[[#This Row],[Code]],'Code Véhicule'!$A$4:$C$185,3,0)),"",VLOOKUP(Tableau13[[#This Row],[Code]],'Code Véhicule'!$A$4:$C$185,3,0))</f>
        <v>MAN</v>
      </c>
      <c r="E802" s="36" t="str">
        <f>IF(ISNA(VLOOKUP(Tableau13[[#This Row],[Code]],'Code Véhicule'!$A$4:$D$185,4,0))," ",VLOOKUP(Tableau13[[#This Row],[Code]],'Code Véhicule'!$A$4:$D$185,4,0))</f>
        <v>4790-B-8</v>
      </c>
      <c r="F802" s="36">
        <v>25321</v>
      </c>
      <c r="G802" s="38" t="s">
        <v>560</v>
      </c>
      <c r="H802" s="38" t="s">
        <v>604</v>
      </c>
      <c r="I802" s="36" t="s">
        <v>304</v>
      </c>
      <c r="J802" s="39" t="s">
        <v>997</v>
      </c>
      <c r="K802" s="36">
        <v>172787</v>
      </c>
      <c r="L802" s="40">
        <v>180</v>
      </c>
      <c r="M802" s="40">
        <v>180</v>
      </c>
      <c r="N802" s="41">
        <v>44525</v>
      </c>
      <c r="O802" s="45"/>
      <c r="P802" s="45"/>
      <c r="Q802" s="176" t="e">
        <f>MONTH([1]!Tableau13[[#This Row],[Date début]])</f>
        <v>#REF!</v>
      </c>
      <c r="R802" s="180" t="e">
        <f>YEAR([1]!Tableau13[[#This Row],[Date début]])</f>
        <v>#REF!</v>
      </c>
      <c r="S802" s="44"/>
      <c r="T802" s="44"/>
    </row>
    <row r="803" spans="1:20" s="75" customFormat="1" ht="23.25">
      <c r="A803" s="35">
        <v>44526</v>
      </c>
      <c r="B803" s="36">
        <v>480</v>
      </c>
      <c r="C803" s="37" t="str">
        <f>IF(ISNA(VLOOKUP(Tableau13[[#This Row],[Code]],'Code Véhicule'!$A$4:$C$185,2,0)),"",VLOOKUP(Tableau13[[#This Row],[Code]],'Code Véhicule'!$A$4:$C$185,2,0))</f>
        <v>Camion</v>
      </c>
      <c r="D803" s="38" t="str">
        <f>IF(ISNA(VLOOKUP(Tableau13[[#This Row],[Code]],'Code Véhicule'!$A$4:$C$185,3,0)),"",VLOOKUP(Tableau13[[#This Row],[Code]],'Code Véhicule'!$A$4:$C$185,3,0))</f>
        <v>VOLVO</v>
      </c>
      <c r="E803" s="36" t="str">
        <f>IF(ISNA(VLOOKUP(Tableau13[[#This Row],[Code]],'Code Véhicule'!$A$4:$D$185,4,0))," ",VLOOKUP(Tableau13[[#This Row],[Code]],'Code Véhicule'!$A$4:$D$185,4,0))</f>
        <v>22299-A-73</v>
      </c>
      <c r="F803" s="36">
        <v>25324</v>
      </c>
      <c r="G803" s="38" t="s">
        <v>327</v>
      </c>
      <c r="H803" s="38" t="s">
        <v>1034</v>
      </c>
      <c r="I803" s="36" t="s">
        <v>304</v>
      </c>
      <c r="J803" s="39" t="s">
        <v>1573</v>
      </c>
      <c r="K803" s="36">
        <v>173763</v>
      </c>
      <c r="L803" s="40">
        <v>120</v>
      </c>
      <c r="M803" s="40">
        <v>120</v>
      </c>
      <c r="N803" s="41">
        <v>44523</v>
      </c>
      <c r="O803" s="45"/>
      <c r="P803" s="45"/>
      <c r="Q803" s="176" t="e">
        <f>MONTH([1]!Tableau13[[#This Row],[Date début]])</f>
        <v>#REF!</v>
      </c>
      <c r="R803" s="180" t="e">
        <f>YEAR([1]!Tableau13[[#This Row],[Date début]])</f>
        <v>#REF!</v>
      </c>
      <c r="S803" s="44"/>
      <c r="T803" s="44"/>
    </row>
    <row r="804" spans="1:20" s="75" customFormat="1" ht="30">
      <c r="A804" s="35">
        <v>44526</v>
      </c>
      <c r="B804" s="36">
        <v>409</v>
      </c>
      <c r="C804" s="37" t="str">
        <f>IF(ISNA(VLOOKUP(Tableau13[[#This Row],[Code]],'Code Véhicule'!$A$4:$C$185,2,0)),"",VLOOKUP(Tableau13[[#This Row],[Code]],'Code Véhicule'!$A$4:$C$185,2,0))</f>
        <v>Camion</v>
      </c>
      <c r="D804" s="38" t="str">
        <f>IF(ISNA(VLOOKUP(Tableau13[[#This Row],[Code]],'Code Véhicule'!$A$4:$C$185,3,0)),"",VLOOKUP(Tableau13[[#This Row],[Code]],'Code Véhicule'!$A$4:$C$185,3,0))</f>
        <v>Mitsubishi</v>
      </c>
      <c r="E804" s="36" t="str">
        <f>IF(ISNA(VLOOKUP(Tableau13[[#This Row],[Code]],'Code Véhicule'!$A$4:$D$185,4,0))," ",VLOOKUP(Tableau13[[#This Row],[Code]],'Code Véhicule'!$A$4:$D$185,4,0))</f>
        <v xml:space="preserve">4969-A-73 </v>
      </c>
      <c r="F804" s="36">
        <v>25325</v>
      </c>
      <c r="G804" s="38" t="s">
        <v>313</v>
      </c>
      <c r="H804" s="38" t="s">
        <v>846</v>
      </c>
      <c r="I804" s="36" t="s">
        <v>304</v>
      </c>
      <c r="J804" s="39" t="s">
        <v>1574</v>
      </c>
      <c r="K804" s="36"/>
      <c r="L804" s="40">
        <v>570</v>
      </c>
      <c r="M804" s="40">
        <v>570</v>
      </c>
      <c r="N804" s="41">
        <v>44526</v>
      </c>
      <c r="O804" s="45"/>
      <c r="P804" s="45"/>
      <c r="Q804" s="176" t="e">
        <f>MONTH([1]!Tableau13[[#This Row],[Date début]])</f>
        <v>#REF!</v>
      </c>
      <c r="R804" s="180" t="e">
        <f>YEAR([1]!Tableau13[[#This Row],[Date début]])</f>
        <v>#REF!</v>
      </c>
      <c r="S804" s="44"/>
      <c r="T804" s="44"/>
    </row>
    <row r="805" spans="1:20" s="75" customFormat="1" ht="23.25">
      <c r="A805" s="35">
        <v>44527</v>
      </c>
      <c r="B805" s="36">
        <v>436</v>
      </c>
      <c r="C805" s="37" t="str">
        <f>IF(ISNA(VLOOKUP(Tableau13[[#This Row],[Code]],'Code Véhicule'!$A$4:$C$185,2,0)),"",VLOOKUP(Tableau13[[#This Row],[Code]],'Code Véhicule'!$A$4:$C$185,2,0))</f>
        <v>Camion</v>
      </c>
      <c r="D805" s="38" t="str">
        <f>IF(ISNA(VLOOKUP(Tableau13[[#This Row],[Code]],'Code Véhicule'!$A$4:$C$185,3,0)),"",VLOOKUP(Tableau13[[#This Row],[Code]],'Code Véhicule'!$A$4:$C$185,3,0))</f>
        <v>Mitsubishi</v>
      </c>
      <c r="E805" s="36" t="str">
        <f>IF(ISNA(VLOOKUP(Tableau13[[#This Row],[Code]],'Code Véhicule'!$A$4:$D$185,4,0))," ",VLOOKUP(Tableau13[[#This Row],[Code]],'Code Véhicule'!$A$4:$D$185,4,0))</f>
        <v>11470-A-73</v>
      </c>
      <c r="F805" s="36">
        <v>24699</v>
      </c>
      <c r="G805" s="38" t="s">
        <v>523</v>
      </c>
      <c r="H805" s="38" t="s">
        <v>1542</v>
      </c>
      <c r="I805" s="36" t="s">
        <v>304</v>
      </c>
      <c r="J805" s="39" t="s">
        <v>1543</v>
      </c>
      <c r="K805" s="36">
        <v>171554</v>
      </c>
      <c r="L805" s="40">
        <v>180</v>
      </c>
      <c r="M805" s="40">
        <v>180</v>
      </c>
      <c r="N805" s="41">
        <v>44496</v>
      </c>
      <c r="O805" s="45"/>
      <c r="P805" s="45"/>
      <c r="Q805" s="176" t="e">
        <f>MONTH([1]!Tableau13[[#This Row],[Date début]])</f>
        <v>#REF!</v>
      </c>
      <c r="R805" s="180" t="e">
        <f>YEAR([1]!Tableau13[[#This Row],[Date début]])</f>
        <v>#REF!</v>
      </c>
      <c r="S805" s="44"/>
      <c r="T805" s="44"/>
    </row>
    <row r="806" spans="1:20" s="75" customFormat="1" ht="30">
      <c r="A806" s="35">
        <v>44530</v>
      </c>
      <c r="B806" s="36">
        <v>429</v>
      </c>
      <c r="C806" s="37" t="str">
        <f>IF(ISNA(VLOOKUP(Tableau13[[#This Row],[Code]],'Code Véhicule'!$A$4:$C$185,2,0)),"",VLOOKUP(Tableau13[[#This Row],[Code]],'Code Véhicule'!$A$4:$C$185,2,0))</f>
        <v>Chariot elevateur</v>
      </c>
      <c r="D806" s="38" t="str">
        <f>IF(ISNA(VLOOKUP(Tableau13[[#This Row],[Code]],'Code Véhicule'!$A$4:$C$185,3,0)),"",VLOOKUP(Tableau13[[#This Row],[Code]],'Code Véhicule'!$A$4:$C$185,3,0))</f>
        <v>Fenwick HD30</v>
      </c>
      <c r="E806" s="36" t="str">
        <f>IF(ISNA(VLOOKUP(Tableau13[[#This Row],[Code]],'Code Véhicule'!$A$4:$D$185,4,0))," ",VLOOKUP(Tableau13[[#This Row],[Code]],'Code Véhicule'!$A$4:$D$185,4,0))</f>
        <v>-</v>
      </c>
      <c r="F806" s="36">
        <v>25310</v>
      </c>
      <c r="G806" s="38" t="s">
        <v>843</v>
      </c>
      <c r="H806" s="38" t="s">
        <v>1556</v>
      </c>
      <c r="I806" s="36" t="s">
        <v>304</v>
      </c>
      <c r="J806" s="39" t="s">
        <v>1557</v>
      </c>
      <c r="K806" s="36">
        <v>174522</v>
      </c>
      <c r="L806" s="40">
        <v>240</v>
      </c>
      <c r="M806" s="40">
        <v>240</v>
      </c>
      <c r="N806" s="41">
        <v>44530</v>
      </c>
      <c r="O806" s="45"/>
      <c r="P806" s="45"/>
      <c r="Q806" s="176" t="e">
        <f>MONTH([1]!Tableau13[[#This Row],[Date début]])</f>
        <v>#REF!</v>
      </c>
      <c r="R806" s="180" t="e">
        <f>YEAR([1]!Tableau13[[#This Row],[Date début]])</f>
        <v>#REF!</v>
      </c>
      <c r="S806" s="44"/>
      <c r="T806" s="44"/>
    </row>
    <row r="807" spans="1:20" s="75" customFormat="1" ht="23.25">
      <c r="A807" s="35">
        <v>44530</v>
      </c>
      <c r="B807" s="36">
        <v>436</v>
      </c>
      <c r="C807" s="37" t="str">
        <f>IF(ISNA(VLOOKUP(Tableau13[[#This Row],[Code]],'Code Véhicule'!$A$4:$C$185,2,0)),"",VLOOKUP(Tableau13[[#This Row],[Code]],'Code Véhicule'!$A$4:$C$185,2,0))</f>
        <v>Camion</v>
      </c>
      <c r="D807" s="38" t="str">
        <f>IF(ISNA(VLOOKUP(Tableau13[[#This Row],[Code]],'Code Véhicule'!$A$4:$C$185,3,0)),"",VLOOKUP(Tableau13[[#This Row],[Code]],'Code Véhicule'!$A$4:$C$185,3,0))</f>
        <v>Mitsubishi</v>
      </c>
      <c r="E807" s="36" t="str">
        <f>IF(ISNA(VLOOKUP(Tableau13[[#This Row],[Code]],'Code Véhicule'!$A$4:$D$185,4,0))," ",VLOOKUP(Tableau13[[#This Row],[Code]],'Code Véhicule'!$A$4:$D$185,4,0))</f>
        <v>11470-A-73</v>
      </c>
      <c r="F807" s="36">
        <v>25312</v>
      </c>
      <c r="G807" s="38" t="s">
        <v>560</v>
      </c>
      <c r="H807" s="38" t="s">
        <v>604</v>
      </c>
      <c r="I807" s="36" t="s">
        <v>304</v>
      </c>
      <c r="J807" s="39" t="s">
        <v>786</v>
      </c>
      <c r="K807" s="36">
        <v>173754</v>
      </c>
      <c r="L807" s="40">
        <v>30</v>
      </c>
      <c r="M807" s="40">
        <v>30</v>
      </c>
      <c r="N807" s="41">
        <v>44530</v>
      </c>
      <c r="O807" s="45"/>
      <c r="P807" s="45"/>
      <c r="Q807" s="176" t="e">
        <f>MONTH([1]!Tableau13[[#This Row],[Date début]])</f>
        <v>#REF!</v>
      </c>
      <c r="R807" s="180" t="e">
        <f>YEAR([1]!Tableau13[[#This Row],[Date début]])</f>
        <v>#REF!</v>
      </c>
      <c r="S807" s="44"/>
      <c r="T807" s="44"/>
    </row>
    <row r="808" spans="1:20" s="75" customFormat="1" ht="30">
      <c r="A808" s="35">
        <v>44530</v>
      </c>
      <c r="B808" s="36">
        <v>471</v>
      </c>
      <c r="C808" s="37" t="str">
        <f>IF(ISNA(VLOOKUP(Tableau13[[#This Row],[Code]],'Code Véhicule'!$A$4:$C$185,2,0)),"",VLOOKUP(Tableau13[[#This Row],[Code]],'Code Véhicule'!$A$4:$C$185,2,0))</f>
        <v>Bus de transport</v>
      </c>
      <c r="D808" s="38" t="str">
        <f>IF(ISNA(VLOOKUP(Tableau13[[#This Row],[Code]],'Code Véhicule'!$A$4:$C$185,3,0)),"",VLOOKUP(Tableau13[[#This Row],[Code]],'Code Véhicule'!$A$4:$C$185,3,0))</f>
        <v xml:space="preserve">Hyundai County </v>
      </c>
      <c r="E808" s="36" t="str">
        <f>IF(ISNA(VLOOKUP(Tableau13[[#This Row],[Code]],'Code Véhicule'!$A$4:$D$185,4,0))," ",VLOOKUP(Tableau13[[#This Row],[Code]],'Code Véhicule'!$A$4:$D$185,4,0))</f>
        <v>18516-A-73</v>
      </c>
      <c r="F808" s="36">
        <v>25322</v>
      </c>
      <c r="G808" s="38" t="s">
        <v>1146</v>
      </c>
      <c r="H808" s="38" t="s">
        <v>1569</v>
      </c>
      <c r="I808" s="36" t="s">
        <v>304</v>
      </c>
      <c r="J808" s="39" t="s">
        <v>1570</v>
      </c>
      <c r="K808" s="36" t="s">
        <v>1571</v>
      </c>
      <c r="L808" s="40">
        <v>1710</v>
      </c>
      <c r="M808" s="40">
        <v>2280</v>
      </c>
      <c r="N808" s="41">
        <v>44534</v>
      </c>
      <c r="O808" s="45"/>
      <c r="P808" s="45"/>
      <c r="Q808" s="176" t="e">
        <f>MONTH([1]!Tableau13[[#This Row],[Date début]])</f>
        <v>#REF!</v>
      </c>
      <c r="R808" s="180" t="e">
        <f>YEAR([1]!Tableau13[[#This Row],[Date début]])</f>
        <v>#REF!</v>
      </c>
      <c r="S808" s="44"/>
      <c r="T808" s="44"/>
    </row>
    <row r="809" spans="1:20" s="75" customFormat="1" ht="23.25">
      <c r="A809" s="35">
        <v>44532</v>
      </c>
      <c r="B809" s="36">
        <v>403</v>
      </c>
      <c r="C809" s="37" t="str">
        <f>IF(ISNA(VLOOKUP(Tableau13[[#This Row],[Code]],'Code Véhicule'!$A$4:$C$185,2,0)),"",VLOOKUP(Tableau13[[#This Row],[Code]],'Code Véhicule'!$A$4:$C$185,2,0))</f>
        <v>Camion</v>
      </c>
      <c r="D809" s="38" t="str">
        <f>IF(ISNA(VLOOKUP(Tableau13[[#This Row],[Code]],'Code Véhicule'!$A$4:$C$185,3,0)),"",VLOOKUP(Tableau13[[#This Row],[Code]],'Code Véhicule'!$A$4:$C$185,3,0))</f>
        <v>MAN</v>
      </c>
      <c r="E809" s="36" t="str">
        <f>IF(ISNA(VLOOKUP(Tableau13[[#This Row],[Code]],'Code Véhicule'!$A$4:$D$185,4,0))," ",VLOOKUP(Tableau13[[#This Row],[Code]],'Code Véhicule'!$A$4:$D$185,4,0))</f>
        <v>4790-B-8</v>
      </c>
      <c r="F809" s="36">
        <v>25314</v>
      </c>
      <c r="G809" s="38" t="s">
        <v>1478</v>
      </c>
      <c r="H809" s="38" t="s">
        <v>850</v>
      </c>
      <c r="I809" s="36" t="s">
        <v>304</v>
      </c>
      <c r="J809" s="39" t="s">
        <v>1562</v>
      </c>
      <c r="K809" s="36">
        <v>17</v>
      </c>
      <c r="L809" s="40">
        <v>240</v>
      </c>
      <c r="M809" s="40">
        <v>240</v>
      </c>
      <c r="N809" s="41">
        <v>44532</v>
      </c>
      <c r="O809" s="45"/>
      <c r="P809" s="45"/>
      <c r="Q809" s="176" t="e">
        <f>MONTH([1]!Tableau13[[#This Row],[Date début]])</f>
        <v>#REF!</v>
      </c>
      <c r="R809" s="180" t="e">
        <f>YEAR([1]!Tableau13[[#This Row],[Date début]])</f>
        <v>#REF!</v>
      </c>
      <c r="S809" s="44"/>
      <c r="T809" s="44"/>
    </row>
    <row r="810" spans="1:20" s="75" customFormat="1" ht="30">
      <c r="A810" s="35">
        <v>44533</v>
      </c>
      <c r="B810" s="36">
        <v>420</v>
      </c>
      <c r="C810" s="37"/>
      <c r="D810" s="38" t="str">
        <f>IF(ISNA(VLOOKUP(Tableau13[[#This Row],[Code]],'Code Véhicule'!$A$4:$C$185,3,0)),"",VLOOKUP(Tableau13[[#This Row],[Code]],'Code Véhicule'!$A$4:$C$185,3,0))</f>
        <v>linde h 45</v>
      </c>
      <c r="E810" s="36">
        <f>IF(ISNA(VLOOKUP(Tableau13[[#This Row],[Code]],'Code Véhicule'!$A$4:$D$185,4,0))," ",VLOOKUP(Tableau13[[#This Row],[Code]],'Code Véhicule'!$A$4:$D$185,4,0))</f>
        <v>0</v>
      </c>
      <c r="F810" s="36">
        <v>25323</v>
      </c>
      <c r="G810" s="38" t="s">
        <v>493</v>
      </c>
      <c r="H810" s="38" t="s">
        <v>601</v>
      </c>
      <c r="I810" s="36" t="s">
        <v>322</v>
      </c>
      <c r="J810" s="39" t="s">
        <v>1572</v>
      </c>
      <c r="K810" s="36">
        <v>173761</v>
      </c>
      <c r="L810" s="40">
        <v>180</v>
      </c>
      <c r="M810" s="40">
        <v>570</v>
      </c>
      <c r="N810" s="41">
        <v>44533</v>
      </c>
      <c r="O810" s="45"/>
      <c r="P810" s="45"/>
      <c r="Q810" s="176" t="e">
        <f>MONTH([1]!Tableau13[[#This Row],[Date début]])</f>
        <v>#REF!</v>
      </c>
      <c r="R810" s="180" t="e">
        <f>YEAR([1]!Tableau13[[#This Row],[Date début]])</f>
        <v>#REF!</v>
      </c>
      <c r="S810" s="44"/>
      <c r="T810" s="44"/>
    </row>
    <row r="811" spans="1:20" s="75" customFormat="1" ht="30">
      <c r="A811" s="35">
        <v>44533</v>
      </c>
      <c r="B811" s="36">
        <v>480</v>
      </c>
      <c r="C811" s="37" t="str">
        <f>IF(ISNA(VLOOKUP(Tableau13[[#This Row],[Code]],'Code Véhicule'!$A$4:$C$185,2,0)),"",VLOOKUP(Tableau13[[#This Row],[Code]],'Code Véhicule'!$A$4:$C$185,2,0))</f>
        <v>Camion</v>
      </c>
      <c r="D811" s="38" t="str">
        <f>IF(ISNA(VLOOKUP(Tableau13[[#This Row],[Code]],'Code Véhicule'!$A$4:$C$185,3,0)),"",VLOOKUP(Tableau13[[#This Row],[Code]],'Code Véhicule'!$A$4:$C$185,3,0))</f>
        <v>VOLVO</v>
      </c>
      <c r="E811" s="36" t="str">
        <f>IF(ISNA(VLOOKUP(Tableau13[[#This Row],[Code]],'Code Véhicule'!$A$4:$D$185,4,0))," ",VLOOKUP(Tableau13[[#This Row],[Code]],'Code Véhicule'!$A$4:$D$185,4,0))</f>
        <v>22299-A-73</v>
      </c>
      <c r="F811" s="36">
        <v>25326</v>
      </c>
      <c r="G811" s="38" t="s">
        <v>1016</v>
      </c>
      <c r="H811" s="38" t="s">
        <v>1575</v>
      </c>
      <c r="I811" s="36" t="s">
        <v>322</v>
      </c>
      <c r="J811" s="39" t="s">
        <v>1576</v>
      </c>
      <c r="K811" s="36" t="s">
        <v>1577</v>
      </c>
      <c r="L811" s="40">
        <v>180</v>
      </c>
      <c r="M811" s="40">
        <v>180</v>
      </c>
      <c r="N811" s="41">
        <v>44533</v>
      </c>
      <c r="O811" s="45"/>
      <c r="P811" s="45"/>
      <c r="Q811" s="176" t="e">
        <f>MONTH([1]!Tableau13[[#This Row],[Date début]])</f>
        <v>#REF!</v>
      </c>
      <c r="R811" s="180" t="e">
        <f>YEAR([1]!Tableau13[[#This Row],[Date début]])</f>
        <v>#REF!</v>
      </c>
      <c r="S811" s="44"/>
      <c r="T811" s="44"/>
    </row>
    <row r="812" spans="1:20" s="75" customFormat="1" ht="23.25">
      <c r="A812" s="35">
        <v>44533</v>
      </c>
      <c r="B812" s="36">
        <v>414</v>
      </c>
      <c r="C812" s="37" t="str">
        <f>IF(ISNA(VLOOKUP(Tableau13[[#This Row],[Code]],'Code Véhicule'!$A$4:$C$185,2,0)),"",VLOOKUP(Tableau13[[#This Row],[Code]],'Code Véhicule'!$A$4:$C$185,2,0))</f>
        <v>Balayeuse</v>
      </c>
      <c r="D812" s="38" t="str">
        <f>IF(ISNA(VLOOKUP(Tableau13[[#This Row],[Code]],'Code Véhicule'!$A$4:$C$185,3,0)),"",VLOOKUP(Tableau13[[#This Row],[Code]],'Code Véhicule'!$A$4:$C$185,3,0))</f>
        <v>Bobcat</v>
      </c>
      <c r="E812" s="36" t="str">
        <f>IF(ISNA(VLOOKUP(Tableau13[[#This Row],[Code]],'Code Véhicule'!$A$4:$D$185,4,0))," ",VLOOKUP(Tableau13[[#This Row],[Code]],'Code Véhicule'!$A$4:$D$185,4,0))</f>
        <v>-</v>
      </c>
      <c r="F812" s="36">
        <v>25328</v>
      </c>
      <c r="G812" s="38" t="s">
        <v>327</v>
      </c>
      <c r="H812" s="38" t="s">
        <v>1034</v>
      </c>
      <c r="I812" s="36" t="s">
        <v>304</v>
      </c>
      <c r="J812" s="39" t="s">
        <v>1579</v>
      </c>
      <c r="K812" s="36">
        <v>173769</v>
      </c>
      <c r="L812" s="40">
        <v>180</v>
      </c>
      <c r="M812" s="40">
        <v>180</v>
      </c>
      <c r="N812" s="41">
        <v>44533</v>
      </c>
      <c r="O812" s="45"/>
      <c r="P812" s="45"/>
      <c r="Q812" s="176" t="e">
        <f>MONTH([1]!Tableau13[[#This Row],[Date début]])</f>
        <v>#REF!</v>
      </c>
      <c r="R812" s="180" t="e">
        <f>YEAR([1]!Tableau13[[#This Row],[Date début]])</f>
        <v>#REF!</v>
      </c>
      <c r="S812" s="44"/>
      <c r="T812" s="44"/>
    </row>
    <row r="813" spans="1:20" s="75" customFormat="1" ht="23.25">
      <c r="A813" s="35">
        <v>44533</v>
      </c>
      <c r="B813" s="36">
        <v>411</v>
      </c>
      <c r="C813" s="37" t="str">
        <f>IF(ISNA(VLOOKUP(Tableau13[[#This Row],[Code]],'Code Véhicule'!$A$4:$C$185,2,0)),"",VLOOKUP(Tableau13[[#This Row],[Code]],'Code Véhicule'!$A$4:$C$185,2,0))</f>
        <v>Camion</v>
      </c>
      <c r="D813" s="38" t="str">
        <f>IF(ISNA(VLOOKUP(Tableau13[[#This Row],[Code]],'Code Véhicule'!$A$4:$C$185,3,0)),"",VLOOKUP(Tableau13[[#This Row],[Code]],'Code Véhicule'!$A$4:$C$185,3,0))</f>
        <v>Renault</v>
      </c>
      <c r="E813" s="36" t="str">
        <f>IF(ISNA(VLOOKUP(Tableau13[[#This Row],[Code]],'Code Véhicule'!$A$4:$D$185,4,0))," ",VLOOKUP(Tableau13[[#This Row],[Code]],'Code Véhicule'!$A$4:$D$185,4,0))</f>
        <v>25636-A-13</v>
      </c>
      <c r="F813" s="36">
        <v>25330</v>
      </c>
      <c r="G813" s="38" t="s">
        <v>560</v>
      </c>
      <c r="H813" s="38" t="s">
        <v>604</v>
      </c>
      <c r="I813" s="36" t="s">
        <v>304</v>
      </c>
      <c r="J813" s="39" t="s">
        <v>340</v>
      </c>
      <c r="K813" s="36">
        <v>173771</v>
      </c>
      <c r="L813" s="40">
        <v>120</v>
      </c>
      <c r="M813" s="40">
        <v>120</v>
      </c>
      <c r="N813" s="41">
        <v>44533</v>
      </c>
      <c r="O813" s="45"/>
      <c r="P813" s="45"/>
      <c r="Q813" s="176" t="e">
        <f>MONTH([1]!Tableau13[[#This Row],[Date début]])</f>
        <v>#REF!</v>
      </c>
      <c r="R813" s="180" t="e">
        <f>YEAR([1]!Tableau13[[#This Row],[Date début]])</f>
        <v>#REF!</v>
      </c>
      <c r="S813" s="44"/>
      <c r="T813" s="44"/>
    </row>
    <row r="814" spans="1:20" s="75" customFormat="1" ht="23.25">
      <c r="A814" s="35">
        <v>44533</v>
      </c>
      <c r="B814" s="36">
        <v>434</v>
      </c>
      <c r="C814" s="37" t="str">
        <f>IF(ISNA(VLOOKUP(Tableau13[[#This Row],[Code]],'Code Véhicule'!$A$4:$C$185,2,0)),"",VLOOKUP(Tableau13[[#This Row],[Code]],'Code Véhicule'!$A$4:$C$185,2,0))</f>
        <v>Chariot elevateur</v>
      </c>
      <c r="D814" s="38" t="str">
        <f>IF(ISNA(VLOOKUP(Tableau13[[#This Row],[Code]],'Code Véhicule'!$A$4:$C$185,3,0)),"",VLOOKUP(Tableau13[[#This Row],[Code]],'Code Véhicule'!$A$4:$C$185,3,0))</f>
        <v>Linde H30D</v>
      </c>
      <c r="E814" s="36" t="str">
        <f>IF(ISNA(VLOOKUP(Tableau13[[#This Row],[Code]],'Code Véhicule'!$A$4:$D$185,4,0))," ",VLOOKUP(Tableau13[[#This Row],[Code]],'Code Véhicule'!$A$4:$D$185,4,0))</f>
        <v>-</v>
      </c>
      <c r="F814" s="36">
        <v>25337</v>
      </c>
      <c r="G814" s="38" t="s">
        <v>715</v>
      </c>
      <c r="H814" s="38" t="s">
        <v>715</v>
      </c>
      <c r="I814" s="36" t="s">
        <v>304</v>
      </c>
      <c r="J814" s="39" t="s">
        <v>1590</v>
      </c>
      <c r="K814" s="36">
        <v>174</v>
      </c>
      <c r="L814" s="40">
        <v>240</v>
      </c>
      <c r="M814" s="40">
        <v>240</v>
      </c>
      <c r="N814" s="41">
        <v>44533</v>
      </c>
      <c r="O814" s="45"/>
      <c r="P814" s="45"/>
      <c r="Q814" s="176" t="e">
        <f>MONTH([1]!Tableau13[[#This Row],[Date début]])</f>
        <v>#REF!</v>
      </c>
      <c r="R814" s="180" t="e">
        <f>YEAR([1]!Tableau13[[#This Row],[Date début]])</f>
        <v>#REF!</v>
      </c>
      <c r="S814" s="44"/>
      <c r="T814" s="44"/>
    </row>
    <row r="815" spans="1:20" s="75" customFormat="1" ht="150">
      <c r="A815" s="35">
        <v>44533</v>
      </c>
      <c r="B815" s="36">
        <v>411</v>
      </c>
      <c r="C815" s="37" t="str">
        <f>IF(ISNA(VLOOKUP(Tableau13[[#This Row],[Code]],'Code Véhicule'!$A$4:$C$185,2,0)),"",VLOOKUP(Tableau13[[#This Row],[Code]],'Code Véhicule'!$A$4:$C$185,2,0))</f>
        <v>Camion</v>
      </c>
      <c r="D815" s="38" t="str">
        <f>IF(ISNA(VLOOKUP(Tableau13[[#This Row],[Code]],'Code Véhicule'!$A$4:$C$185,3,0)),"",VLOOKUP(Tableau13[[#This Row],[Code]],'Code Véhicule'!$A$4:$C$185,3,0))</f>
        <v>Renault</v>
      </c>
      <c r="E815" s="36" t="str">
        <f>IF(ISNA(VLOOKUP(Tableau13[[#This Row],[Code]],'Code Véhicule'!$A$4:$D$185,4,0))," ",VLOOKUP(Tableau13[[#This Row],[Code]],'Code Véhicule'!$A$4:$D$185,4,0))</f>
        <v>25636-A-13</v>
      </c>
      <c r="F815" s="36">
        <v>25344</v>
      </c>
      <c r="G815" s="38" t="s">
        <v>1591</v>
      </c>
      <c r="H815" s="38" t="s">
        <v>632</v>
      </c>
      <c r="I815" s="36" t="s">
        <v>304</v>
      </c>
      <c r="J815" s="39" t="s">
        <v>1597</v>
      </c>
      <c r="K815" s="36" t="s">
        <v>1602</v>
      </c>
      <c r="L815" s="40">
        <v>6840</v>
      </c>
      <c r="M815" s="40">
        <v>14500</v>
      </c>
      <c r="N815" s="41">
        <v>44564</v>
      </c>
      <c r="O815" s="45"/>
      <c r="P815" s="45"/>
      <c r="Q815" s="176" t="e">
        <f>MONTH([1]!Tableau13[[#This Row],[Date début]])</f>
        <v>#REF!</v>
      </c>
      <c r="R815" s="180" t="e">
        <f>YEAR([1]!Tableau13[[#This Row],[Date début]])</f>
        <v>#REF!</v>
      </c>
      <c r="S815" s="44"/>
      <c r="T815" s="44"/>
    </row>
    <row r="816" spans="1:20" s="75" customFormat="1" ht="23.25">
      <c r="A816" s="35">
        <v>44534</v>
      </c>
      <c r="B816" s="36">
        <v>433</v>
      </c>
      <c r="C816" s="37" t="str">
        <f>IF(ISNA(VLOOKUP(Tableau13[[#This Row],[Code]],'Code Véhicule'!$A$4:$C$185,2,0)),"",VLOOKUP(Tableau13[[#This Row],[Code]],'Code Véhicule'!$A$4:$C$185,2,0))</f>
        <v>Voiture de fonction</v>
      </c>
      <c r="D816" s="38" t="str">
        <f>IF(ISNA(VLOOKUP(Tableau13[[#This Row],[Code]],'Code Véhicule'!$A$4:$C$185,3,0)),"",VLOOKUP(Tableau13[[#This Row],[Code]],'Code Véhicule'!$A$4:$C$185,3,0))</f>
        <v>Berlingo</v>
      </c>
      <c r="E816" s="36" t="str">
        <f>IF(ISNA(VLOOKUP(Tableau13[[#This Row],[Code]],'Code Véhicule'!$A$4:$D$185,4,0))," ",VLOOKUP(Tableau13[[#This Row],[Code]],'Code Véhicule'!$A$4:$D$185,4,0))</f>
        <v>10551-A-73</v>
      </c>
      <c r="F816" s="36">
        <v>26104</v>
      </c>
      <c r="G816" s="38" t="s">
        <v>403</v>
      </c>
      <c r="H816" s="38" t="s">
        <v>1608</v>
      </c>
      <c r="I816" s="36" t="s">
        <v>304</v>
      </c>
      <c r="J816" s="39" t="s">
        <v>1609</v>
      </c>
      <c r="K816" s="36">
        <v>174585</v>
      </c>
      <c r="L816" s="40">
        <v>360</v>
      </c>
      <c r="M816" s="40">
        <v>360</v>
      </c>
      <c r="N816" s="41">
        <v>44534</v>
      </c>
      <c r="O816" s="45"/>
      <c r="P816" s="45"/>
      <c r="Q816" s="176" t="e">
        <f>MONTH([1]!Tableau13[[#This Row],[Date début]])</f>
        <v>#REF!</v>
      </c>
      <c r="R816" s="180" t="e">
        <f>YEAR([1]!Tableau13[[#This Row],[Date début]])</f>
        <v>#REF!</v>
      </c>
      <c r="S816" s="44"/>
      <c r="T816" s="44"/>
    </row>
    <row r="817" spans="1:20" s="75" customFormat="1" ht="23.25">
      <c r="A817" s="35">
        <v>44535</v>
      </c>
      <c r="B817" s="36">
        <v>438</v>
      </c>
      <c r="C817" s="37" t="str">
        <f>IF(ISNA(VLOOKUP(Tableau13[[#This Row],[Code]],'Code Véhicule'!$A$4:$C$185,2,0)),"",VLOOKUP(Tableau13[[#This Row],[Code]],'Code Véhicule'!$A$4:$C$185,2,0))</f>
        <v>Semi remorque</v>
      </c>
      <c r="D817" s="38" t="str">
        <f>IF(ISNA(VLOOKUP(Tableau13[[#This Row],[Code]],'Code Véhicule'!$A$4:$C$185,3,0)),"",VLOOKUP(Tableau13[[#This Row],[Code]],'Code Véhicule'!$A$4:$C$185,3,0))</f>
        <v>VOLVO</v>
      </c>
      <c r="E817" s="36" t="str">
        <f>IF(ISNA(VLOOKUP(Tableau13[[#This Row],[Code]],'Code Véhicule'!$A$4:$D$185,4,0))," ",VLOOKUP(Tableau13[[#This Row],[Code]],'Code Véhicule'!$A$4:$D$185,4,0))</f>
        <v xml:space="preserve">17885-A-73 </v>
      </c>
      <c r="F817" s="36">
        <v>26105</v>
      </c>
      <c r="G817" s="38" t="s">
        <v>403</v>
      </c>
      <c r="H817" s="38" t="s">
        <v>1608</v>
      </c>
      <c r="I817" s="36" t="s">
        <v>304</v>
      </c>
      <c r="J817" s="39" t="s">
        <v>1609</v>
      </c>
      <c r="K817" s="36">
        <v>174586</v>
      </c>
      <c r="L817" s="40">
        <v>360</v>
      </c>
      <c r="M817" s="40">
        <v>360</v>
      </c>
      <c r="N817" s="41">
        <v>44535</v>
      </c>
      <c r="O817" s="45"/>
      <c r="P817" s="45"/>
      <c r="Q817" s="176" t="e">
        <f>MONTH([1]!Tableau13[[#This Row],[Date début]])</f>
        <v>#REF!</v>
      </c>
      <c r="R817" s="180" t="e">
        <f>YEAR([1]!Tableau13[[#This Row],[Date début]])</f>
        <v>#REF!</v>
      </c>
      <c r="S817" s="44"/>
      <c r="T817" s="44"/>
    </row>
    <row r="818" spans="1:20" s="75" customFormat="1" ht="45">
      <c r="A818" s="35">
        <v>44537</v>
      </c>
      <c r="B818" s="36">
        <v>435</v>
      </c>
      <c r="C818" s="37" t="str">
        <f>IF(ISNA(VLOOKUP(Tableau13[[#This Row],[Code]],'Code Véhicule'!$A$4:$C$185,2,0)),"",VLOOKUP(Tableau13[[#This Row],[Code]],'Code Véhicule'!$A$4:$C$185,2,0))</f>
        <v>Camion</v>
      </c>
      <c r="D818" s="38" t="str">
        <f>IF(ISNA(VLOOKUP(Tableau13[[#This Row],[Code]],'Code Véhicule'!$A$4:$C$185,3,0)),"",VLOOKUP(Tableau13[[#This Row],[Code]],'Code Véhicule'!$A$4:$C$185,3,0))</f>
        <v>Mitsubishi</v>
      </c>
      <c r="E818" s="36" t="str">
        <f>IF(ISNA(VLOOKUP(Tableau13[[#This Row],[Code]],'Code Véhicule'!$A$4:$D$185,4,0))," ",VLOOKUP(Tableau13[[#This Row],[Code]],'Code Véhicule'!$A$4:$D$185,4,0))</f>
        <v xml:space="preserve"> 11469-A-73</v>
      </c>
      <c r="F818" s="36">
        <v>25331</v>
      </c>
      <c r="G818" s="38" t="s">
        <v>393</v>
      </c>
      <c r="H818" s="38" t="s">
        <v>608</v>
      </c>
      <c r="I818" s="36" t="s">
        <v>304</v>
      </c>
      <c r="J818" s="39" t="s">
        <v>1583</v>
      </c>
      <c r="K818" s="36">
        <v>173783</v>
      </c>
      <c r="L818" s="40">
        <v>120</v>
      </c>
      <c r="M818" s="40">
        <v>120</v>
      </c>
      <c r="N818" s="41">
        <v>44537</v>
      </c>
      <c r="O818" s="45"/>
      <c r="P818" s="45"/>
      <c r="Q818" s="176" t="e">
        <f>MONTH([1]!Tableau13[[#This Row],[Date début]])</f>
        <v>#REF!</v>
      </c>
      <c r="R818" s="180" t="e">
        <f>YEAR([1]!Tableau13[[#This Row],[Date début]])</f>
        <v>#REF!</v>
      </c>
      <c r="S818" s="44"/>
      <c r="T818" s="44"/>
    </row>
    <row r="819" spans="1:20" s="75" customFormat="1" ht="23.25">
      <c r="A819" s="35">
        <v>44537</v>
      </c>
      <c r="B819" s="36">
        <v>407</v>
      </c>
      <c r="C819" s="37" t="str">
        <f>IF(ISNA(VLOOKUP(Tableau13[[#This Row],[Code]],'Code Véhicule'!$A$4:$C$185,2,0)),"",VLOOKUP(Tableau13[[#This Row],[Code]],'Code Véhicule'!$A$4:$C$185,2,0))</f>
        <v>Semi remorque</v>
      </c>
      <c r="D819" s="38" t="str">
        <f>IF(ISNA(VLOOKUP(Tableau13[[#This Row],[Code]],'Code Véhicule'!$A$4:$C$185,3,0)),"",VLOOKUP(Tableau13[[#This Row],[Code]],'Code Véhicule'!$A$4:$C$185,3,0))</f>
        <v>MAN</v>
      </c>
      <c r="E819" s="36" t="str">
        <f>IF(ISNA(VLOOKUP(Tableau13[[#This Row],[Code]],'Code Véhicule'!$A$4:$D$185,4,0))," ",VLOOKUP(Tableau13[[#This Row],[Code]],'Code Véhicule'!$A$4:$D$185,4,0))</f>
        <v>706-A-73</v>
      </c>
      <c r="F819" s="36">
        <v>25332</v>
      </c>
      <c r="G819" s="38" t="s">
        <v>481</v>
      </c>
      <c r="H819" s="38" t="s">
        <v>948</v>
      </c>
      <c r="I819" s="36" t="s">
        <v>304</v>
      </c>
      <c r="J819" s="39" t="s">
        <v>950</v>
      </c>
      <c r="K819" s="36">
        <v>173788</v>
      </c>
      <c r="L819" s="40">
        <v>120</v>
      </c>
      <c r="M819" s="40">
        <v>120</v>
      </c>
      <c r="N819" s="41">
        <v>44537</v>
      </c>
      <c r="O819" s="45"/>
      <c r="P819" s="45"/>
      <c r="Q819" s="176" t="e">
        <f>MONTH([1]!Tableau13[[#This Row],[Date début]])</f>
        <v>#REF!</v>
      </c>
      <c r="R819" s="180" t="e">
        <f>YEAR([1]!Tableau13[[#This Row],[Date début]])</f>
        <v>#REF!</v>
      </c>
      <c r="S819" s="44"/>
      <c r="T819" s="44"/>
    </row>
    <row r="820" spans="1:20" s="75" customFormat="1" ht="45">
      <c r="A820" s="35">
        <v>44537</v>
      </c>
      <c r="B820" s="36">
        <v>479</v>
      </c>
      <c r="C820" s="37" t="str">
        <f>IF(ISNA(VLOOKUP(Tableau13[[#This Row],[Code]],'Code Véhicule'!$A$4:$C$185,2,0)),"",VLOOKUP(Tableau13[[#This Row],[Code]],'Code Véhicule'!$A$4:$C$185,2,0))</f>
        <v>Bus de transport</v>
      </c>
      <c r="D820" s="38" t="str">
        <f>IF(ISNA(VLOOKUP(Tableau13[[#This Row],[Code]],'Code Véhicule'!$A$4:$C$185,3,0)),"",VLOOKUP(Tableau13[[#This Row],[Code]],'Code Véhicule'!$A$4:$C$185,3,0))</f>
        <v>Hyundai County</v>
      </c>
      <c r="E820" s="36" t="str">
        <f>IF(ISNA(VLOOKUP(Tableau13[[#This Row],[Code]],'Code Véhicule'!$A$4:$D$185,4,0))," ",VLOOKUP(Tableau13[[#This Row],[Code]],'Code Véhicule'!$A$4:$D$185,4,0))</f>
        <v>22772-A-73</v>
      </c>
      <c r="F820" s="36">
        <v>25333</v>
      </c>
      <c r="G820" s="38" t="s">
        <v>610</v>
      </c>
      <c r="H820" s="38" t="s">
        <v>955</v>
      </c>
      <c r="I820" s="36" t="s">
        <v>304</v>
      </c>
      <c r="J820" s="39" t="s">
        <v>1584</v>
      </c>
      <c r="K820" s="36" t="s">
        <v>1585</v>
      </c>
      <c r="L820" s="40">
        <v>2280</v>
      </c>
      <c r="M820" s="40">
        <v>120</v>
      </c>
      <c r="N820" s="41">
        <v>44541</v>
      </c>
      <c r="O820" s="45"/>
      <c r="P820" s="45"/>
      <c r="Q820" s="176" t="e">
        <f>MONTH([1]!Tableau13[[#This Row],[Date début]])</f>
        <v>#REF!</v>
      </c>
      <c r="R820" s="180" t="e">
        <f>YEAR([1]!Tableau13[[#This Row],[Date début]])</f>
        <v>#REF!</v>
      </c>
      <c r="S820" s="44"/>
      <c r="T820" s="44"/>
    </row>
    <row r="821" spans="1:20" s="75" customFormat="1" ht="60">
      <c r="A821" s="35">
        <v>44538</v>
      </c>
      <c r="B821" s="36">
        <v>427</v>
      </c>
      <c r="C821" s="37" t="str">
        <f>IF(ISNA(VLOOKUP(Tableau13[[#This Row],[Code]],'Code Véhicule'!$A$4:$C$185,2,0)),"",VLOOKUP(Tableau13[[#This Row],[Code]],'Code Véhicule'!$A$4:$C$185,2,0))</f>
        <v>Chariot elevateur</v>
      </c>
      <c r="D821" s="38" t="str">
        <f>IF(ISNA(VLOOKUP(Tableau13[[#This Row],[Code]],'Code Véhicule'!$A$4:$C$185,3,0)),"",VLOOKUP(Tableau13[[#This Row],[Code]],'Code Véhicule'!$A$4:$C$185,3,0))</f>
        <v>Linde H30</v>
      </c>
      <c r="E821" s="36" t="str">
        <f>IF(ISNA(VLOOKUP(Tableau13[[#This Row],[Code]],'Code Véhicule'!$A$4:$D$185,4,0))," ",VLOOKUP(Tableau13[[#This Row],[Code]],'Code Véhicule'!$A$4:$D$185,4,0))</f>
        <v>-</v>
      </c>
      <c r="F821" s="36">
        <v>25350</v>
      </c>
      <c r="G821" s="38" t="s">
        <v>843</v>
      </c>
      <c r="H821" s="38" t="s">
        <v>1034</v>
      </c>
      <c r="I821" s="36" t="s">
        <v>304</v>
      </c>
      <c r="J821" s="39" t="s">
        <v>1601</v>
      </c>
      <c r="K821" s="36">
        <v>174573</v>
      </c>
      <c r="L821" s="40">
        <v>1140</v>
      </c>
      <c r="M821" s="40">
        <f>570*6</f>
        <v>3420</v>
      </c>
      <c r="N821" s="41">
        <v>44544</v>
      </c>
      <c r="O821" s="45"/>
      <c r="P821" s="45"/>
      <c r="Q821" s="176" t="e">
        <f>MONTH([1]!Tableau13[[#This Row],[Date début]])</f>
        <v>#REF!</v>
      </c>
      <c r="R821" s="180" t="e">
        <f>YEAR([1]!Tableau13[[#This Row],[Date début]])</f>
        <v>#REF!</v>
      </c>
      <c r="S821" s="44"/>
      <c r="T821" s="44"/>
    </row>
    <row r="822" spans="1:20" s="75" customFormat="1" ht="23.25">
      <c r="A822" s="35">
        <v>44539</v>
      </c>
      <c r="B822" s="36">
        <v>479</v>
      </c>
      <c r="C822" s="37" t="str">
        <f>IF(ISNA(VLOOKUP(Tableau13[[#This Row],[Code]],'Code Véhicule'!$A$4:$C$185,2,0)),"",VLOOKUP(Tableau13[[#This Row],[Code]],'Code Véhicule'!$A$4:$C$185,2,0))</f>
        <v>Bus de transport</v>
      </c>
      <c r="D822" s="38" t="str">
        <f>IF(ISNA(VLOOKUP(Tableau13[[#This Row],[Code]],'Code Véhicule'!$A$4:$C$185,3,0)),"",VLOOKUP(Tableau13[[#This Row],[Code]],'Code Véhicule'!$A$4:$C$185,3,0))</f>
        <v>Hyundai County</v>
      </c>
      <c r="E822" s="36" t="str">
        <f>IF(ISNA(VLOOKUP(Tableau13[[#This Row],[Code]],'Code Véhicule'!$A$4:$D$185,4,0))," ",VLOOKUP(Tableau13[[#This Row],[Code]],'Code Véhicule'!$A$4:$D$185,4,0))</f>
        <v>22772-A-73</v>
      </c>
      <c r="F822" s="36">
        <v>25327</v>
      </c>
      <c r="G822" s="38" t="s">
        <v>610</v>
      </c>
      <c r="H822" s="38" t="s">
        <v>955</v>
      </c>
      <c r="I822" s="36" t="s">
        <v>304</v>
      </c>
      <c r="J822" s="39" t="s">
        <v>1578</v>
      </c>
      <c r="K822" s="36">
        <v>173768</v>
      </c>
      <c r="L822" s="40">
        <v>360</v>
      </c>
      <c r="M822" s="40">
        <v>360</v>
      </c>
      <c r="N822" s="41">
        <v>44539</v>
      </c>
      <c r="O822" s="45"/>
      <c r="P822" s="45"/>
      <c r="Q822" s="176" t="e">
        <f>MONTH([1]!Tableau13[[#This Row],[Date début]])</f>
        <v>#REF!</v>
      </c>
      <c r="R822" s="180" t="e">
        <f>YEAR([1]!Tableau13[[#This Row],[Date début]])</f>
        <v>#REF!</v>
      </c>
      <c r="S822" s="44"/>
      <c r="T822" s="44"/>
    </row>
    <row r="823" spans="1:20" s="75" customFormat="1" ht="23.25">
      <c r="A823" s="35">
        <v>44539</v>
      </c>
      <c r="B823" s="36">
        <v>429</v>
      </c>
      <c r="C823" s="37" t="str">
        <f>IF(ISNA(VLOOKUP(Tableau13[[#This Row],[Code]],'Code Véhicule'!$A$4:$C$185,2,0)),"",VLOOKUP(Tableau13[[#This Row],[Code]],'Code Véhicule'!$A$4:$C$185,2,0))</f>
        <v>Chariot elevateur</v>
      </c>
      <c r="D823" s="38" t="str">
        <f>IF(ISNA(VLOOKUP(Tableau13[[#This Row],[Code]],'Code Véhicule'!$A$4:$C$185,3,0)),"",VLOOKUP(Tableau13[[#This Row],[Code]],'Code Véhicule'!$A$4:$C$185,3,0))</f>
        <v>Fenwick HD30</v>
      </c>
      <c r="E823" s="36" t="str">
        <f>IF(ISNA(VLOOKUP(Tableau13[[#This Row],[Code]],'Code Véhicule'!$A$4:$D$185,4,0))," ",VLOOKUP(Tableau13[[#This Row],[Code]],'Code Véhicule'!$A$4:$D$185,4,0))</f>
        <v>-</v>
      </c>
      <c r="F823" s="36">
        <v>25335</v>
      </c>
      <c r="G823" s="38" t="s">
        <v>843</v>
      </c>
      <c r="H823" s="38" t="s">
        <v>1587</v>
      </c>
      <c r="I823" s="36" t="s">
        <v>304</v>
      </c>
      <c r="J823" s="39" t="s">
        <v>1588</v>
      </c>
      <c r="K823" s="36">
        <v>173795</v>
      </c>
      <c r="L823" s="40">
        <v>180</v>
      </c>
      <c r="M823" s="40">
        <v>180</v>
      </c>
      <c r="N823" s="41">
        <v>44539</v>
      </c>
      <c r="O823" s="45"/>
      <c r="P823" s="45"/>
      <c r="Q823" s="176" t="e">
        <f>MONTH([1]!Tableau13[[#This Row],[Date début]])</f>
        <v>#REF!</v>
      </c>
      <c r="R823" s="180" t="e">
        <f>YEAR([1]!Tableau13[[#This Row],[Date début]])</f>
        <v>#REF!</v>
      </c>
      <c r="S823" s="44"/>
      <c r="T823" s="44"/>
    </row>
    <row r="824" spans="1:20" s="75" customFormat="1" ht="60">
      <c r="A824" s="35">
        <v>44540</v>
      </c>
      <c r="B824" s="36">
        <v>403</v>
      </c>
      <c r="C824" s="37" t="str">
        <f>IF(ISNA(VLOOKUP(Tableau13[[#This Row],[Code]],'Code Véhicule'!$A$4:$C$185,2,0)),"",VLOOKUP(Tableau13[[#This Row],[Code]],'Code Véhicule'!$A$4:$C$185,2,0))</f>
        <v>Camion</v>
      </c>
      <c r="D824" s="38" t="str">
        <f>IF(ISNA(VLOOKUP(Tableau13[[#This Row],[Code]],'Code Véhicule'!$A$4:$C$185,3,0)),"",VLOOKUP(Tableau13[[#This Row],[Code]],'Code Véhicule'!$A$4:$C$185,3,0))</f>
        <v>MAN</v>
      </c>
      <c r="E824" s="36" t="str">
        <f>IF(ISNA(VLOOKUP(Tableau13[[#This Row],[Code]],'Code Véhicule'!$A$4:$D$185,4,0))," ",VLOOKUP(Tableau13[[#This Row],[Code]],'Code Véhicule'!$A$4:$D$185,4,0))</f>
        <v>4790-B-8</v>
      </c>
      <c r="F824" s="36">
        <v>26103</v>
      </c>
      <c r="G824" s="38" t="s">
        <v>1478</v>
      </c>
      <c r="H824" s="38" t="s">
        <v>850</v>
      </c>
      <c r="I824" s="36" t="s">
        <v>304</v>
      </c>
      <c r="J824" s="39" t="s">
        <v>1606</v>
      </c>
      <c r="K824" s="36" t="s">
        <v>1607</v>
      </c>
      <c r="L824" s="40">
        <v>1710</v>
      </c>
      <c r="M824" s="40">
        <v>5700</v>
      </c>
      <c r="N824" s="41">
        <v>44547</v>
      </c>
      <c r="O824" s="45"/>
      <c r="P824" s="45"/>
      <c r="Q824" s="176" t="e">
        <f>MONTH([1]!Tableau13[[#This Row],[Date début]])</f>
        <v>#REF!</v>
      </c>
      <c r="R824" s="180" t="e">
        <f>YEAR([1]!Tableau13[[#This Row],[Date début]])</f>
        <v>#REF!</v>
      </c>
      <c r="S824" s="44"/>
      <c r="T824" s="44"/>
    </row>
    <row r="825" spans="1:20" s="75" customFormat="1" ht="30">
      <c r="A825" s="35">
        <v>44541</v>
      </c>
      <c r="B825" s="36">
        <v>409</v>
      </c>
      <c r="C825" s="37" t="str">
        <f>IF(ISNA(VLOOKUP(Tableau13[[#This Row],[Code]],'Code Véhicule'!$A$4:$C$185,2,0)),"",VLOOKUP(Tableau13[[#This Row],[Code]],'Code Véhicule'!$A$4:$C$185,2,0))</f>
        <v>Camion</v>
      </c>
      <c r="D825" s="38" t="str">
        <f>IF(ISNA(VLOOKUP(Tableau13[[#This Row],[Code]],'Code Véhicule'!$A$4:$C$185,3,0)),"",VLOOKUP(Tableau13[[#This Row],[Code]],'Code Véhicule'!$A$4:$C$185,3,0))</f>
        <v>Mitsubishi</v>
      </c>
      <c r="E825" s="36" t="str">
        <f>IF(ISNA(VLOOKUP(Tableau13[[#This Row],[Code]],'Code Véhicule'!$A$4:$D$185,4,0))," ",VLOOKUP(Tableau13[[#This Row],[Code]],'Code Véhicule'!$A$4:$D$185,4,0))</f>
        <v xml:space="preserve">4969-A-73 </v>
      </c>
      <c r="F825" s="36">
        <v>25336</v>
      </c>
      <c r="G825" s="38" t="s">
        <v>1016</v>
      </c>
      <c r="H825" s="38" t="s">
        <v>1031</v>
      </c>
      <c r="I825" s="36" t="s">
        <v>304</v>
      </c>
      <c r="J825" s="39" t="s">
        <v>1589</v>
      </c>
      <c r="K825" s="36">
        <v>174556</v>
      </c>
      <c r="L825" s="40">
        <v>240</v>
      </c>
      <c r="M825" s="40">
        <v>240</v>
      </c>
      <c r="N825" s="41">
        <v>44541</v>
      </c>
      <c r="O825" s="45"/>
      <c r="P825" s="45"/>
      <c r="Q825" s="176" t="e">
        <f>MONTH([1]!Tableau13[[#This Row],[Date début]])</f>
        <v>#REF!</v>
      </c>
      <c r="R825" s="180" t="e">
        <f>YEAR([1]!Tableau13[[#This Row],[Date début]])</f>
        <v>#REF!</v>
      </c>
      <c r="S825" s="44"/>
      <c r="T825" s="44"/>
    </row>
    <row r="826" spans="1:20" s="75" customFormat="1" ht="30">
      <c r="A826" s="35">
        <v>44541</v>
      </c>
      <c r="B826" s="36">
        <v>435</v>
      </c>
      <c r="C826" s="37" t="str">
        <f>IF(ISNA(VLOOKUP(Tableau13[[#This Row],[Code]],'Code Véhicule'!$A$4:$C$185,2,0)),"",VLOOKUP(Tableau13[[#This Row],[Code]],'Code Véhicule'!$A$4:$C$185,2,0))</f>
        <v>Camion</v>
      </c>
      <c r="D826" s="38" t="str">
        <f>IF(ISNA(VLOOKUP(Tableau13[[#This Row],[Code]],'Code Véhicule'!$A$4:$C$185,3,0)),"",VLOOKUP(Tableau13[[#This Row],[Code]],'Code Véhicule'!$A$4:$C$185,3,0))</f>
        <v>Mitsubishi</v>
      </c>
      <c r="E826" s="36" t="str">
        <f>IF(ISNA(VLOOKUP(Tableau13[[#This Row],[Code]],'Code Véhicule'!$A$4:$D$185,4,0))," ",VLOOKUP(Tableau13[[#This Row],[Code]],'Code Véhicule'!$A$4:$D$185,4,0))</f>
        <v xml:space="preserve"> 11469-A-73</v>
      </c>
      <c r="F826" s="36">
        <v>25338</v>
      </c>
      <c r="G826" s="38" t="s">
        <v>1591</v>
      </c>
      <c r="H826" s="38" t="s">
        <v>313</v>
      </c>
      <c r="I826" s="36" t="s">
        <v>304</v>
      </c>
      <c r="J826" s="39" t="s">
        <v>1592</v>
      </c>
      <c r="K826" s="36">
        <v>174558</v>
      </c>
      <c r="L826" s="40">
        <v>570</v>
      </c>
      <c r="M826" s="40">
        <v>570</v>
      </c>
      <c r="N826" s="41">
        <v>44542</v>
      </c>
      <c r="O826" s="45"/>
      <c r="P826" s="45"/>
      <c r="Q826" s="176" t="e">
        <f>MONTH([1]!Tableau13[[#This Row],[Date début]])</f>
        <v>#REF!</v>
      </c>
      <c r="R826" s="180" t="e">
        <f>YEAR([1]!Tableau13[[#This Row],[Date début]])</f>
        <v>#REF!</v>
      </c>
      <c r="S826" s="44"/>
      <c r="T826" s="44"/>
    </row>
    <row r="827" spans="1:20" s="75" customFormat="1" ht="30">
      <c r="A827" s="35">
        <v>44541</v>
      </c>
      <c r="B827" s="36">
        <v>436</v>
      </c>
      <c r="C827" s="37" t="str">
        <f>IF(ISNA(VLOOKUP(Tableau13[[#This Row],[Code]],'Code Véhicule'!$A$4:$C$185,2,0)),"",VLOOKUP(Tableau13[[#This Row],[Code]],'Code Véhicule'!$A$4:$C$185,2,0))</f>
        <v>Camion</v>
      </c>
      <c r="D827" s="38" t="str">
        <f>IF(ISNA(VLOOKUP(Tableau13[[#This Row],[Code]],'Code Véhicule'!$A$4:$C$185,3,0)),"",VLOOKUP(Tableau13[[#This Row],[Code]],'Code Véhicule'!$A$4:$C$185,3,0))</f>
        <v>Mitsubishi</v>
      </c>
      <c r="E827" s="36" t="str">
        <f>IF(ISNA(VLOOKUP(Tableau13[[#This Row],[Code]],'Code Véhicule'!$A$4:$D$185,4,0))," ",VLOOKUP(Tableau13[[#This Row],[Code]],'Code Véhicule'!$A$4:$D$185,4,0))</f>
        <v>11470-A-73</v>
      </c>
      <c r="F827" s="36">
        <v>25340</v>
      </c>
      <c r="G827" s="38" t="s">
        <v>511</v>
      </c>
      <c r="H827" s="38" t="s">
        <v>672</v>
      </c>
      <c r="I827" s="36" t="s">
        <v>304</v>
      </c>
      <c r="J827" s="39" t="s">
        <v>1595</v>
      </c>
      <c r="K827" s="36">
        <v>174559</v>
      </c>
      <c r="L827" s="40">
        <v>570</v>
      </c>
      <c r="M827" s="40">
        <v>570</v>
      </c>
      <c r="N827" s="41">
        <v>44542</v>
      </c>
      <c r="O827" s="45"/>
      <c r="P827" s="45"/>
      <c r="Q827" s="176" t="e">
        <f>MONTH([1]!Tableau13[[#This Row],[Date début]])</f>
        <v>#REF!</v>
      </c>
      <c r="R827" s="180" t="e">
        <f>YEAR([1]!Tableau13[[#This Row],[Date début]])</f>
        <v>#REF!</v>
      </c>
      <c r="S827" s="44"/>
      <c r="T827" s="44"/>
    </row>
    <row r="828" spans="1:20" s="75" customFormat="1" ht="75">
      <c r="A828" s="35">
        <v>44541</v>
      </c>
      <c r="B828" s="36">
        <v>409</v>
      </c>
      <c r="C828" s="37" t="str">
        <f>IF(ISNA(VLOOKUP(Tableau13[[#This Row],[Code]],'Code Véhicule'!$A$4:$C$185,2,0)),"",VLOOKUP(Tableau13[[#This Row],[Code]],'Code Véhicule'!$A$4:$C$185,2,0))</f>
        <v>Camion</v>
      </c>
      <c r="D828" s="38" t="str">
        <f>IF(ISNA(VLOOKUP(Tableau13[[#This Row],[Code]],'Code Véhicule'!$A$4:$C$185,3,0)),"",VLOOKUP(Tableau13[[#This Row],[Code]],'Code Véhicule'!$A$4:$C$185,3,0))</f>
        <v>Mitsubishi</v>
      </c>
      <c r="E828" s="36" t="str">
        <f>IF(ISNA(VLOOKUP(Tableau13[[#This Row],[Code]],'Code Véhicule'!$A$4:$D$185,4,0))," ",VLOOKUP(Tableau13[[#This Row],[Code]],'Code Véhicule'!$A$4:$D$185,4,0))</f>
        <v xml:space="preserve">4969-A-73 </v>
      </c>
      <c r="F828" s="36">
        <v>25348</v>
      </c>
      <c r="G828" s="38" t="s">
        <v>610</v>
      </c>
      <c r="H828" s="38" t="s">
        <v>955</v>
      </c>
      <c r="I828" s="36" t="s">
        <v>304</v>
      </c>
      <c r="J828" s="39" t="s">
        <v>1598</v>
      </c>
      <c r="K828" s="36" t="s">
        <v>1599</v>
      </c>
      <c r="L828" s="40">
        <v>2850</v>
      </c>
      <c r="M828" s="40">
        <f>6*570</f>
        <v>3420</v>
      </c>
      <c r="N828" s="41">
        <v>44547</v>
      </c>
      <c r="O828" s="45"/>
      <c r="P828" s="45"/>
      <c r="Q828" s="176" t="e">
        <f>MONTH([1]!Tableau13[[#This Row],[Date début]])</f>
        <v>#REF!</v>
      </c>
      <c r="R828" s="180" t="e">
        <f>YEAR([1]!Tableau13[[#This Row],[Date début]])</f>
        <v>#REF!</v>
      </c>
      <c r="S828" s="44"/>
      <c r="T828" s="44"/>
    </row>
    <row r="829" spans="1:20" s="75" customFormat="1" ht="23.25">
      <c r="A829" s="35">
        <v>44542</v>
      </c>
      <c r="B829" s="36">
        <v>431</v>
      </c>
      <c r="C829" s="37" t="str">
        <f>IF(ISNA(VLOOKUP(Tableau13[[#This Row],[Code]],'Code Véhicule'!$A$4:$C$185,2,0)),"",VLOOKUP(Tableau13[[#This Row],[Code]],'Code Véhicule'!$A$4:$C$185,2,0))</f>
        <v>Chariot elevateur</v>
      </c>
      <c r="D829" s="38" t="str">
        <f>IF(ISNA(VLOOKUP(Tableau13[[#This Row],[Code]],'Code Véhicule'!$A$4:$C$185,3,0)),"",VLOOKUP(Tableau13[[#This Row],[Code]],'Code Véhicule'!$A$4:$C$185,3,0))</f>
        <v>Manitou M26-2</v>
      </c>
      <c r="E829" s="36" t="str">
        <f>IF(ISNA(VLOOKUP(Tableau13[[#This Row],[Code]],'Code Véhicule'!$A$4:$D$185,4,0))," ",VLOOKUP(Tableau13[[#This Row],[Code]],'Code Véhicule'!$A$4:$D$185,4,0))</f>
        <v>-</v>
      </c>
      <c r="F829" s="36">
        <v>25334</v>
      </c>
      <c r="G829" s="38" t="s">
        <v>715</v>
      </c>
      <c r="H829" s="38" t="s">
        <v>715</v>
      </c>
      <c r="I829" s="36" t="s">
        <v>304</v>
      </c>
      <c r="J829" s="39" t="s">
        <v>1586</v>
      </c>
      <c r="K829" s="36">
        <v>173793</v>
      </c>
      <c r="L829" s="40">
        <v>360</v>
      </c>
      <c r="M829" s="40">
        <v>360</v>
      </c>
      <c r="N829" s="41">
        <v>44542</v>
      </c>
      <c r="O829" s="45"/>
      <c r="P829" s="45"/>
      <c r="Q829" s="176" t="e">
        <f>MONTH([1]!Tableau13[[#This Row],[Date début]])</f>
        <v>#REF!</v>
      </c>
      <c r="R829" s="180" t="e">
        <f>YEAR([1]!Tableau13[[#This Row],[Date début]])</f>
        <v>#REF!</v>
      </c>
      <c r="S829" s="44"/>
      <c r="T829" s="44"/>
    </row>
    <row r="830" spans="1:20" s="75" customFormat="1" ht="23.25">
      <c r="A830" s="35">
        <v>44543</v>
      </c>
      <c r="B830" s="36">
        <v>471</v>
      </c>
      <c r="C830" s="37" t="str">
        <f>IF(ISNA(VLOOKUP(Tableau13[[#This Row],[Code]],'Code Véhicule'!$A$4:$C$185,2,0)),"",VLOOKUP(Tableau13[[#This Row],[Code]],'Code Véhicule'!$A$4:$C$185,2,0))</f>
        <v>Bus de transport</v>
      </c>
      <c r="D830" s="38" t="str">
        <f>IF(ISNA(VLOOKUP(Tableau13[[#This Row],[Code]],'Code Véhicule'!$A$4:$C$185,3,0)),"",VLOOKUP(Tableau13[[#This Row],[Code]],'Code Véhicule'!$A$4:$C$185,3,0))</f>
        <v xml:space="preserve">Hyundai County </v>
      </c>
      <c r="E830" s="36" t="str">
        <f>IF(ISNA(VLOOKUP(Tableau13[[#This Row],[Code]],'Code Véhicule'!$A$4:$D$185,4,0))," ",VLOOKUP(Tableau13[[#This Row],[Code]],'Code Véhicule'!$A$4:$D$185,4,0))</f>
        <v>18516-A-73</v>
      </c>
      <c r="F830" s="36">
        <v>25342</v>
      </c>
      <c r="G830" s="38" t="s">
        <v>1534</v>
      </c>
      <c r="H830" s="38" t="s">
        <v>1034</v>
      </c>
      <c r="I830" s="36" t="s">
        <v>304</v>
      </c>
      <c r="J830" s="39" t="s">
        <v>1596</v>
      </c>
      <c r="K830" s="36">
        <v>174565</v>
      </c>
      <c r="L830" s="40">
        <v>570</v>
      </c>
      <c r="M830" s="40">
        <v>570</v>
      </c>
      <c r="N830" s="41">
        <v>44543</v>
      </c>
      <c r="O830" s="45"/>
      <c r="P830" s="45"/>
      <c r="Q830" s="176" t="e">
        <f>MONTH([1]!Tableau13[[#This Row],[Date début]])</f>
        <v>#REF!</v>
      </c>
      <c r="R830" s="180" t="e">
        <f>YEAR([1]!Tableau13[[#This Row],[Date début]])</f>
        <v>#REF!</v>
      </c>
      <c r="S830" s="44"/>
      <c r="T830" s="44"/>
    </row>
    <row r="831" spans="1:20" s="75" customFormat="1" ht="23.25">
      <c r="A831" s="35">
        <v>44543</v>
      </c>
      <c r="B831" s="36">
        <v>401</v>
      </c>
      <c r="C831" s="37" t="str">
        <f>IF(ISNA(VLOOKUP(Tableau13[[#This Row],[Code]],'Code Véhicule'!$A$4:$C$185,2,0)),"",VLOOKUP(Tableau13[[#This Row],[Code]],'Code Véhicule'!$A$4:$C$185,2,0))</f>
        <v>Camion</v>
      </c>
      <c r="D831" s="38" t="str">
        <f>IF(ISNA(VLOOKUP(Tableau13[[#This Row],[Code]],'Code Véhicule'!$A$4:$C$185,3,0)),"",VLOOKUP(Tableau13[[#This Row],[Code]],'Code Véhicule'!$A$4:$C$185,3,0))</f>
        <v>ISUZU</v>
      </c>
      <c r="E831" s="36" t="str">
        <f>IF(ISNA(VLOOKUP(Tableau13[[#This Row],[Code]],'Code Véhicule'!$A$4:$D$185,4,0))," ",VLOOKUP(Tableau13[[#This Row],[Code]],'Code Véhicule'!$A$4:$D$185,4,0))</f>
        <v>26128-A-8</v>
      </c>
      <c r="F831" s="36">
        <v>25346</v>
      </c>
      <c r="G831" s="38" t="s">
        <v>1534</v>
      </c>
      <c r="H831" s="38" t="s">
        <v>1034</v>
      </c>
      <c r="I831" s="36" t="s">
        <v>304</v>
      </c>
      <c r="J831" s="39" t="s">
        <v>1596</v>
      </c>
      <c r="K831" s="36">
        <v>174566</v>
      </c>
      <c r="L831" s="40">
        <v>570</v>
      </c>
      <c r="M831" s="40">
        <v>570</v>
      </c>
      <c r="N831" s="41">
        <v>44544</v>
      </c>
      <c r="O831" s="45"/>
      <c r="P831" s="45"/>
      <c r="Q831" s="176" t="e">
        <f>MONTH([1]!Tableau13[[#This Row],[Date début]])</f>
        <v>#REF!</v>
      </c>
      <c r="R831" s="180" t="e">
        <f>YEAR([1]!Tableau13[[#This Row],[Date début]])</f>
        <v>#REF!</v>
      </c>
      <c r="S831" s="44"/>
      <c r="T831" s="44"/>
    </row>
    <row r="832" spans="1:20" s="75" customFormat="1" ht="23.25">
      <c r="A832" s="35">
        <v>44543</v>
      </c>
      <c r="B832" s="36">
        <v>435</v>
      </c>
      <c r="C832" s="37" t="str">
        <f>IF(ISNA(VLOOKUP(Tableau13[[#This Row],[Code]],'Code Véhicule'!$A$4:$C$185,2,0)),"",VLOOKUP(Tableau13[[#This Row],[Code]],'Code Véhicule'!$A$4:$C$185,2,0))</f>
        <v>Camion</v>
      </c>
      <c r="D832" s="38" t="str">
        <f>IF(ISNA(VLOOKUP(Tableau13[[#This Row],[Code]],'Code Véhicule'!$A$4:$C$185,3,0)),"",VLOOKUP(Tableau13[[#This Row],[Code]],'Code Véhicule'!$A$4:$C$185,3,0))</f>
        <v>Mitsubishi</v>
      </c>
      <c r="E832" s="36" t="str">
        <f>IF(ISNA(VLOOKUP(Tableau13[[#This Row],[Code]],'Code Véhicule'!$A$4:$D$185,4,0))," ",VLOOKUP(Tableau13[[#This Row],[Code]],'Code Véhicule'!$A$4:$D$185,4,0))</f>
        <v xml:space="preserve"> 11469-A-73</v>
      </c>
      <c r="F832" s="36">
        <v>25347</v>
      </c>
      <c r="G832" s="38" t="s">
        <v>1534</v>
      </c>
      <c r="H832" s="38" t="s">
        <v>1034</v>
      </c>
      <c r="I832" s="36" t="s">
        <v>304</v>
      </c>
      <c r="J832" s="39" t="s">
        <v>1596</v>
      </c>
      <c r="K832" s="36">
        <v>174567</v>
      </c>
      <c r="L832" s="40">
        <v>570</v>
      </c>
      <c r="M832" s="40">
        <v>570</v>
      </c>
      <c r="N832" s="41">
        <v>44545</v>
      </c>
      <c r="O832" s="45"/>
      <c r="P832" s="45"/>
      <c r="Q832" s="176" t="e">
        <f>MONTH([1]!Tableau13[[#This Row],[Date début]])</f>
        <v>#REF!</v>
      </c>
      <c r="R832" s="180" t="e">
        <f>YEAR([1]!Tableau13[[#This Row],[Date début]])</f>
        <v>#REF!</v>
      </c>
      <c r="S832" s="44"/>
      <c r="T832" s="44"/>
    </row>
    <row r="833" spans="1:20" s="75" customFormat="1" ht="30">
      <c r="A833" s="35">
        <v>44544</v>
      </c>
      <c r="B833" s="36">
        <v>426</v>
      </c>
      <c r="C833" s="37" t="str">
        <f>IF(ISNA(VLOOKUP(Tableau13[[#This Row],[Code]],'Code Véhicule'!$A$4:$C$185,2,0)),"",VLOOKUP(Tableau13[[#This Row],[Code]],'Code Véhicule'!$A$4:$C$185,2,0))</f>
        <v>Chariot elevateur</v>
      </c>
      <c r="D833" s="38" t="str">
        <f>IF(ISNA(VLOOKUP(Tableau13[[#This Row],[Code]],'Code Véhicule'!$A$4:$C$185,3,0)),"",VLOOKUP(Tableau13[[#This Row],[Code]],'Code Véhicule'!$A$4:$C$185,3,0))</f>
        <v>Manitou MC 30</v>
      </c>
      <c r="E833" s="36" t="str">
        <f>IF(ISNA(VLOOKUP(Tableau13[[#This Row],[Code]],'Code Véhicule'!$A$4:$D$185,4,0))," ",VLOOKUP(Tableau13[[#This Row],[Code]],'Code Véhicule'!$A$4:$D$185,4,0))</f>
        <v>-</v>
      </c>
      <c r="F833" s="36">
        <v>25349</v>
      </c>
      <c r="G833" s="38" t="s">
        <v>511</v>
      </c>
      <c r="H833" s="38" t="s">
        <v>1600</v>
      </c>
      <c r="I833" s="36" t="s">
        <v>304</v>
      </c>
      <c r="J833" s="39" t="s">
        <v>1234</v>
      </c>
      <c r="K833" s="36">
        <v>1474572</v>
      </c>
      <c r="L833" s="40">
        <v>120</v>
      </c>
      <c r="M833" s="40">
        <v>120</v>
      </c>
      <c r="N833" s="41">
        <v>44544</v>
      </c>
      <c r="O833" s="45"/>
      <c r="P833" s="45"/>
      <c r="Q833" s="176" t="e">
        <f>MONTH([1]!Tableau13[[#This Row],[Date début]])</f>
        <v>#REF!</v>
      </c>
      <c r="R833" s="180" t="e">
        <f>YEAR([1]!Tableau13[[#This Row],[Date début]])</f>
        <v>#REF!</v>
      </c>
      <c r="S833" s="44"/>
      <c r="T833" s="44"/>
    </row>
    <row r="834" spans="1:20" s="75" customFormat="1" ht="30">
      <c r="A834" s="35">
        <v>44544</v>
      </c>
      <c r="B834" s="36">
        <v>413</v>
      </c>
      <c r="C834" s="37" t="str">
        <f>IF(ISNA(VLOOKUP(Tableau13[[#This Row],[Code]],'Code Véhicule'!$A$4:$C$185,2,0)),"",VLOOKUP(Tableau13[[#This Row],[Code]],'Code Véhicule'!$A$4:$C$185,2,0))</f>
        <v>Chargeur</v>
      </c>
      <c r="D834" s="38" t="str">
        <f>IF(ISNA(VLOOKUP(Tableau13[[#This Row],[Code]],'Code Véhicule'!$A$4:$C$185,3,0)),"",VLOOKUP(Tableau13[[#This Row],[Code]],'Code Véhicule'!$A$4:$C$185,3,0))</f>
        <v>Caterpillar</v>
      </c>
      <c r="E834" s="36" t="str">
        <f>IF(ISNA(VLOOKUP(Tableau13[[#This Row],[Code]],'Code Véhicule'!$A$4:$D$185,4,0))," ",VLOOKUP(Tableau13[[#This Row],[Code]],'Code Véhicule'!$A$4:$D$185,4,0))</f>
        <v>-</v>
      </c>
      <c r="F834" s="36">
        <v>26101</v>
      </c>
      <c r="G834" s="38" t="s">
        <v>1478</v>
      </c>
      <c r="H834" s="38" t="s">
        <v>1324</v>
      </c>
      <c r="I834" s="36" t="s">
        <v>304</v>
      </c>
      <c r="J834" s="39" t="s">
        <v>1603</v>
      </c>
      <c r="K834" s="36">
        <v>174579</v>
      </c>
      <c r="L834" s="40">
        <v>360</v>
      </c>
      <c r="M834" s="40">
        <v>36</v>
      </c>
      <c r="N834" s="41">
        <v>44546</v>
      </c>
      <c r="O834" s="45"/>
      <c r="P834" s="45"/>
      <c r="Q834" s="176" t="e">
        <f>MONTH([1]!Tableau13[[#This Row],[Date début]])</f>
        <v>#REF!</v>
      </c>
      <c r="R834" s="180" t="e">
        <f>YEAR([1]!Tableau13[[#This Row],[Date début]])</f>
        <v>#REF!</v>
      </c>
      <c r="S834" s="44"/>
      <c r="T834" s="44"/>
    </row>
    <row r="835" spans="1:20" s="75" customFormat="1" ht="120">
      <c r="A835" s="35">
        <v>44545</v>
      </c>
      <c r="B835" s="36">
        <v>430</v>
      </c>
      <c r="C835" s="37" t="str">
        <f>IF(ISNA(VLOOKUP(Tableau13[[#This Row],[Code]],'Code Véhicule'!$A$4:$C$185,2,0)),"",VLOOKUP(Tableau13[[#This Row],[Code]],'Code Véhicule'!$A$4:$C$185,2,0))</f>
        <v>Chariot elevateur</v>
      </c>
      <c r="D835" s="38" t="str">
        <f>IF(ISNA(VLOOKUP(Tableau13[[#This Row],[Code]],'Code Véhicule'!$A$4:$C$185,3,0)),"",VLOOKUP(Tableau13[[#This Row],[Code]],'Code Véhicule'!$A$4:$C$185,3,0))</f>
        <v>Fenwick  H40</v>
      </c>
      <c r="E835" s="36" t="str">
        <f>IF(ISNA(VLOOKUP(Tableau13[[#This Row],[Code]],'Code Véhicule'!$A$4:$D$185,4,0))," ",VLOOKUP(Tableau13[[#This Row],[Code]],'Code Véhicule'!$A$4:$D$185,4,0))</f>
        <v>-</v>
      </c>
      <c r="F835" s="36">
        <v>26108</v>
      </c>
      <c r="G835" s="38" t="s">
        <v>1193</v>
      </c>
      <c r="H835" s="38" t="s">
        <v>1337</v>
      </c>
      <c r="I835" s="36" t="s">
        <v>304</v>
      </c>
      <c r="J835" s="39" t="s">
        <v>1614</v>
      </c>
      <c r="K835" s="36" t="s">
        <v>1615</v>
      </c>
      <c r="L835" s="40">
        <f>570*13</f>
        <v>7410</v>
      </c>
      <c r="M835" s="40">
        <v>7410</v>
      </c>
      <c r="N835" s="41">
        <v>44561</v>
      </c>
      <c r="O835" s="45"/>
      <c r="P835" s="45"/>
      <c r="Q835" s="176" t="e">
        <f>MONTH([1]!Tableau13[[#This Row],[Date début]])</f>
        <v>#REF!</v>
      </c>
      <c r="R835" s="180" t="e">
        <f>YEAR([1]!Tableau13[[#This Row],[Date début]])</f>
        <v>#REF!</v>
      </c>
      <c r="S835" s="44"/>
      <c r="T835" s="44"/>
    </row>
    <row r="836" spans="1:20" s="75" customFormat="1" ht="75">
      <c r="A836" s="35">
        <v>44546</v>
      </c>
      <c r="B836" s="36">
        <v>471</v>
      </c>
      <c r="C836" s="37" t="str">
        <f>IF(ISNA(VLOOKUP(Tableau13[[#This Row],[Code]],'Code Véhicule'!$A$4:$C$185,2,0)),"",VLOOKUP(Tableau13[[#This Row],[Code]],'Code Véhicule'!$A$4:$C$185,2,0))</f>
        <v>Bus de transport</v>
      </c>
      <c r="D836" s="38" t="str">
        <f>IF(ISNA(VLOOKUP(Tableau13[[#This Row],[Code]],'Code Véhicule'!$A$4:$C$185,3,0)),"",VLOOKUP(Tableau13[[#This Row],[Code]],'Code Véhicule'!$A$4:$C$185,3,0))</f>
        <v xml:space="preserve">Hyundai County </v>
      </c>
      <c r="E836" s="36" t="str">
        <f>IF(ISNA(VLOOKUP(Tableau13[[#This Row],[Code]],'Code Véhicule'!$A$4:$D$185,4,0))," ",VLOOKUP(Tableau13[[#This Row],[Code]],'Code Véhicule'!$A$4:$D$185,4,0))</f>
        <v>18516-A-73</v>
      </c>
      <c r="F836" s="36">
        <v>26102</v>
      </c>
      <c r="G836" s="38" t="s">
        <v>1478</v>
      </c>
      <c r="H836" s="38" t="s">
        <v>1324</v>
      </c>
      <c r="I836" s="36" t="s">
        <v>304</v>
      </c>
      <c r="J836" s="39" t="s">
        <v>1604</v>
      </c>
      <c r="K836" s="36" t="s">
        <v>1605</v>
      </c>
      <c r="L836" s="40">
        <v>1140</v>
      </c>
      <c r="M836" s="40">
        <v>2280</v>
      </c>
      <c r="N836" s="41">
        <v>44549</v>
      </c>
      <c r="O836" s="45"/>
      <c r="P836" s="45"/>
      <c r="Q836" s="176" t="e">
        <f>MONTH([1]!Tableau13[[#This Row],[Date début]])</f>
        <v>#REF!</v>
      </c>
      <c r="R836" s="180" t="e">
        <f>YEAR([1]!Tableau13[[#This Row],[Date début]])</f>
        <v>#REF!</v>
      </c>
      <c r="S836" s="44"/>
      <c r="T836" s="44"/>
    </row>
    <row r="837" spans="1:20" s="75" customFormat="1" ht="105">
      <c r="A837" s="35">
        <v>44547</v>
      </c>
      <c r="B837" s="36">
        <v>431</v>
      </c>
      <c r="C837" s="37" t="str">
        <f>IF(ISNA(VLOOKUP(Tableau13[[#This Row],[Code]],'Code Véhicule'!$A$4:$C$185,2,0)),"",VLOOKUP(Tableau13[[#This Row],[Code]],'Code Véhicule'!$A$4:$C$185,2,0))</f>
        <v>Chariot elevateur</v>
      </c>
      <c r="D837" s="38" t="str">
        <f>IF(ISNA(VLOOKUP(Tableau13[[#This Row],[Code]],'Code Véhicule'!$A$4:$C$185,3,0)),"",VLOOKUP(Tableau13[[#This Row],[Code]],'Code Véhicule'!$A$4:$C$185,3,0))</f>
        <v>Manitou M26-2</v>
      </c>
      <c r="E837" s="36" t="str">
        <f>IF(ISNA(VLOOKUP(Tableau13[[#This Row],[Code]],'Code Véhicule'!$A$4:$D$185,4,0))," ",VLOOKUP(Tableau13[[#This Row],[Code]],'Code Véhicule'!$A$4:$D$185,4,0))</f>
        <v>-</v>
      </c>
      <c r="F837" s="36">
        <v>25339</v>
      </c>
      <c r="G837" s="38" t="s">
        <v>932</v>
      </c>
      <c r="H837" s="38" t="s">
        <v>1593</v>
      </c>
      <c r="I837" s="36" t="s">
        <v>304</v>
      </c>
      <c r="J837" s="39" t="s">
        <v>1722</v>
      </c>
      <c r="K837" s="36" t="s">
        <v>1594</v>
      </c>
      <c r="L837" s="40"/>
      <c r="M837" s="40" t="e">
        <f>IF(ISBLANK(Tableau13[[#This Row],[N BS]]),"",(Tableau13[[#This Row],[N BS]]-Tableau13[[#This Row],[Date début]]))</f>
        <v>#VALUE!</v>
      </c>
      <c r="N837" s="41"/>
      <c r="O837" s="45"/>
      <c r="P837" s="45"/>
      <c r="Q837" s="176" t="e">
        <f>MONTH([1]!Tableau13[[#This Row],[Date début]])</f>
        <v>#REF!</v>
      </c>
      <c r="R837" s="180" t="e">
        <f>YEAR([1]!Tableau13[[#This Row],[Date début]])</f>
        <v>#REF!</v>
      </c>
      <c r="S837" s="44"/>
      <c r="T837" s="44"/>
    </row>
    <row r="838" spans="1:20" s="75" customFormat="1" ht="23.25">
      <c r="A838" s="35">
        <v>44547</v>
      </c>
      <c r="B838" s="36">
        <v>438</v>
      </c>
      <c r="C838" s="37" t="str">
        <f>IF(ISNA(VLOOKUP(Tableau13[[#This Row],[Code]],'Code Véhicule'!$A$4:$C$185,2,0)),"",VLOOKUP(Tableau13[[#This Row],[Code]],'Code Véhicule'!$A$4:$C$185,2,0))</f>
        <v>Semi remorque</v>
      </c>
      <c r="D838" s="38" t="str">
        <f>IF(ISNA(VLOOKUP(Tableau13[[#This Row],[Code]],'Code Véhicule'!$A$4:$C$185,3,0)),"",VLOOKUP(Tableau13[[#This Row],[Code]],'Code Véhicule'!$A$4:$C$185,3,0))</f>
        <v>VOLVO</v>
      </c>
      <c r="E838" s="36" t="str">
        <f>IF(ISNA(VLOOKUP(Tableau13[[#This Row],[Code]],'Code Véhicule'!$A$4:$D$185,4,0))," ",VLOOKUP(Tableau13[[#This Row],[Code]],'Code Véhicule'!$A$4:$D$185,4,0))</f>
        <v xml:space="preserve">17885-A-73 </v>
      </c>
      <c r="F838" s="36">
        <v>25341</v>
      </c>
      <c r="G838" s="38" t="s">
        <v>560</v>
      </c>
      <c r="H838" s="38" t="s">
        <v>604</v>
      </c>
      <c r="I838" s="36" t="s">
        <v>304</v>
      </c>
      <c r="J838" s="39" t="s">
        <v>526</v>
      </c>
      <c r="K838" s="36">
        <v>174564</v>
      </c>
      <c r="L838" s="40">
        <v>160</v>
      </c>
      <c r="M838" s="40">
        <v>160</v>
      </c>
      <c r="N838" s="41">
        <v>44547</v>
      </c>
      <c r="O838" s="45"/>
      <c r="P838" s="45"/>
      <c r="Q838" s="176" t="e">
        <f>MONTH([1]!Tableau13[[#This Row],[Date début]])</f>
        <v>#REF!</v>
      </c>
      <c r="R838" s="180" t="e">
        <f>YEAR([1]!Tableau13[[#This Row],[Date début]])</f>
        <v>#REF!</v>
      </c>
      <c r="S838" s="44"/>
      <c r="T838" s="44"/>
    </row>
    <row r="839" spans="1:20" s="75" customFormat="1" ht="45">
      <c r="A839" s="35">
        <v>44548</v>
      </c>
      <c r="B839" s="36">
        <v>427</v>
      </c>
      <c r="C839" s="37" t="str">
        <f>IF(ISNA(VLOOKUP(Tableau13[[#This Row],[Code]],'Code Véhicule'!$A$4:$C$185,2,0)),"",VLOOKUP(Tableau13[[#This Row],[Code]],'Code Véhicule'!$A$4:$C$185,2,0))</f>
        <v>Chariot elevateur</v>
      </c>
      <c r="D839" s="38" t="str">
        <f>IF(ISNA(VLOOKUP(Tableau13[[#This Row],[Code]],'Code Véhicule'!$A$4:$C$185,3,0)),"",VLOOKUP(Tableau13[[#This Row],[Code]],'Code Véhicule'!$A$4:$C$185,3,0))</f>
        <v>Linde H30</v>
      </c>
      <c r="E839" s="36" t="str">
        <f>IF(ISNA(VLOOKUP(Tableau13[[#This Row],[Code]],'Code Véhicule'!$A$4:$D$185,4,0))," ",VLOOKUP(Tableau13[[#This Row],[Code]],'Code Véhicule'!$A$4:$D$185,4,0))</f>
        <v>-</v>
      </c>
      <c r="F839" s="36">
        <v>26107</v>
      </c>
      <c r="G839" s="38" t="s">
        <v>511</v>
      </c>
      <c r="H839" s="38" t="s">
        <v>1611</v>
      </c>
      <c r="I839" s="36" t="s">
        <v>304</v>
      </c>
      <c r="J839" s="39" t="s">
        <v>1612</v>
      </c>
      <c r="K839" s="36" t="s">
        <v>1613</v>
      </c>
      <c r="L839" s="40">
        <v>360</v>
      </c>
      <c r="M839" s="40">
        <v>360</v>
      </c>
      <c r="N839" s="41">
        <v>44552</v>
      </c>
      <c r="O839" s="45"/>
      <c r="P839" s="45"/>
      <c r="Q839" s="176" t="e">
        <f>MONTH([1]!Tableau13[[#This Row],[Date début]])</f>
        <v>#REF!</v>
      </c>
      <c r="R839" s="180" t="e">
        <f>YEAR([1]!Tableau13[[#This Row],[Date début]])</f>
        <v>#REF!</v>
      </c>
      <c r="S839" s="44"/>
      <c r="T839" s="44"/>
    </row>
    <row r="840" spans="1:20" s="75" customFormat="1" ht="30">
      <c r="A840" s="35">
        <v>44549</v>
      </c>
      <c r="B840" s="36">
        <v>436</v>
      </c>
      <c r="C840" s="37" t="str">
        <f>IF(ISNA(VLOOKUP(Tableau13[[#This Row],[Code]],'Code Véhicule'!$A$4:$C$185,2,0)),"",VLOOKUP(Tableau13[[#This Row],[Code]],'Code Véhicule'!$A$4:$C$185,2,0))</f>
        <v>Camion</v>
      </c>
      <c r="D840" s="38" t="str">
        <f>IF(ISNA(VLOOKUP(Tableau13[[#This Row],[Code]],'Code Véhicule'!$A$4:$C$185,3,0)),"",VLOOKUP(Tableau13[[#This Row],[Code]],'Code Véhicule'!$A$4:$C$185,3,0))</f>
        <v>Mitsubishi</v>
      </c>
      <c r="E840" s="36" t="str">
        <f>IF(ISNA(VLOOKUP(Tableau13[[#This Row],[Code]],'Code Véhicule'!$A$4:$D$185,4,0))," ",VLOOKUP(Tableau13[[#This Row],[Code]],'Code Véhicule'!$A$4:$D$185,4,0))</f>
        <v>11470-A-73</v>
      </c>
      <c r="F840" s="36">
        <v>26106</v>
      </c>
      <c r="G840" s="38" t="s">
        <v>511</v>
      </c>
      <c r="H840" s="38" t="s">
        <v>1558</v>
      </c>
      <c r="I840" s="36" t="s">
        <v>304</v>
      </c>
      <c r="J840" s="39" t="s">
        <v>1610</v>
      </c>
      <c r="K840" s="36">
        <v>174592</v>
      </c>
      <c r="L840" s="40">
        <v>120</v>
      </c>
      <c r="M840" s="40">
        <v>120</v>
      </c>
      <c r="N840" s="41">
        <v>44549</v>
      </c>
      <c r="O840" s="45"/>
      <c r="P840" s="45"/>
      <c r="Q840" s="176" t="e">
        <f>MONTH([1]!Tableau13[[#This Row],[Date début]])</f>
        <v>#REF!</v>
      </c>
      <c r="R840" s="180" t="e">
        <f>YEAR([1]!Tableau13[[#This Row],[Date début]])</f>
        <v>#REF!</v>
      </c>
      <c r="S840" s="44"/>
      <c r="T840" s="44"/>
    </row>
    <row r="841" spans="1:20" s="75" customFormat="1" ht="45">
      <c r="A841" s="35">
        <v>44550</v>
      </c>
      <c r="B841" s="36">
        <v>406</v>
      </c>
      <c r="C841" s="37" t="str">
        <f>IF(ISNA(VLOOKUP(Tableau13[[#This Row],[Code]],'Code Véhicule'!$A$4:$C$185,2,0)),"",VLOOKUP(Tableau13[[#This Row],[Code]],'Code Véhicule'!$A$4:$C$185,2,0))</f>
        <v>Semi remorque</v>
      </c>
      <c r="D841" s="38" t="str">
        <f>IF(ISNA(VLOOKUP(Tableau13[[#This Row],[Code]],'Code Véhicule'!$A$4:$C$185,3,0)),"",VLOOKUP(Tableau13[[#This Row],[Code]],'Code Véhicule'!$A$4:$C$185,3,0))</f>
        <v>VOLVO</v>
      </c>
      <c r="E841" s="36" t="str">
        <f>IF(ISNA(VLOOKUP(Tableau13[[#This Row],[Code]],'Code Véhicule'!$A$4:$D$185,4,0))," ",VLOOKUP(Tableau13[[#This Row],[Code]],'Code Véhicule'!$A$4:$D$185,4,0))</f>
        <v>70352-A-6</v>
      </c>
      <c r="F841" s="36">
        <v>26112</v>
      </c>
      <c r="G841" s="38" t="s">
        <v>511</v>
      </c>
      <c r="H841" s="38" t="s">
        <v>687</v>
      </c>
      <c r="I841" s="36" t="s">
        <v>304</v>
      </c>
      <c r="J841" s="39" t="s">
        <v>1619</v>
      </c>
      <c r="K841" s="36">
        <v>174870</v>
      </c>
      <c r="L841" s="40">
        <v>1140</v>
      </c>
      <c r="M841" s="40">
        <v>2280</v>
      </c>
      <c r="N841" s="41">
        <v>44554</v>
      </c>
      <c r="O841" s="45"/>
      <c r="P841" s="45"/>
      <c r="Q841" s="176" t="e">
        <f>MONTH([1]!Tableau13[[#This Row],[Date début]])</f>
        <v>#REF!</v>
      </c>
      <c r="R841" s="180" t="e">
        <f>YEAR([1]!Tableau13[[#This Row],[Date début]])</f>
        <v>#REF!</v>
      </c>
      <c r="S841" s="44"/>
      <c r="T841" s="44"/>
    </row>
    <row r="842" spans="1:20" s="75" customFormat="1" ht="30">
      <c r="A842" s="35">
        <v>44550</v>
      </c>
      <c r="B842" s="36">
        <v>471</v>
      </c>
      <c r="C842" s="37" t="str">
        <f>IF(ISNA(VLOOKUP(Tableau13[[#This Row],[Code]],'Code Véhicule'!$A$4:$C$185,2,0)),"",VLOOKUP(Tableau13[[#This Row],[Code]],'Code Véhicule'!$A$4:$C$185,2,0))</f>
        <v>Bus de transport</v>
      </c>
      <c r="D842" s="38" t="str">
        <f>IF(ISNA(VLOOKUP(Tableau13[[#This Row],[Code]],'Code Véhicule'!$A$4:$C$185,3,0)),"",VLOOKUP(Tableau13[[#This Row],[Code]],'Code Véhicule'!$A$4:$C$185,3,0))</f>
        <v xml:space="preserve">Hyundai County </v>
      </c>
      <c r="E842" s="36" t="str">
        <f>IF(ISNA(VLOOKUP(Tableau13[[#This Row],[Code]],'Code Véhicule'!$A$4:$D$185,4,0))," ",VLOOKUP(Tableau13[[#This Row],[Code]],'Code Véhicule'!$A$4:$D$185,4,0))</f>
        <v>18516-A-73</v>
      </c>
      <c r="F842" s="36">
        <v>26113</v>
      </c>
      <c r="G842" s="38" t="s">
        <v>560</v>
      </c>
      <c r="H842" s="38" t="s">
        <v>604</v>
      </c>
      <c r="I842" s="36" t="s">
        <v>304</v>
      </c>
      <c r="J842" s="39" t="s">
        <v>1620</v>
      </c>
      <c r="K842" s="36" t="s">
        <v>1621</v>
      </c>
      <c r="L842" s="40">
        <v>120</v>
      </c>
      <c r="M842" s="40">
        <v>120</v>
      </c>
      <c r="N842" s="41">
        <v>44554</v>
      </c>
      <c r="O842" s="45"/>
      <c r="P842" s="45"/>
      <c r="Q842" s="176" t="e">
        <f>MONTH([1]!Tableau13[[#This Row],[Date début]])</f>
        <v>#REF!</v>
      </c>
      <c r="R842" s="180" t="e">
        <f>YEAR([1]!Tableau13[[#This Row],[Date début]])</f>
        <v>#REF!</v>
      </c>
      <c r="S842" s="44"/>
      <c r="T842" s="44"/>
    </row>
    <row r="843" spans="1:20" s="75" customFormat="1" ht="60">
      <c r="A843" s="35">
        <v>44550</v>
      </c>
      <c r="B843" s="36">
        <v>426</v>
      </c>
      <c r="C843" s="37" t="str">
        <f>IF(ISNA(VLOOKUP(Tableau13[[#This Row],[Code]],'Code Véhicule'!$A$4:$C$185,2,0)),"",VLOOKUP(Tableau13[[#This Row],[Code]],'Code Véhicule'!$A$4:$C$185,2,0))</f>
        <v>Chariot elevateur</v>
      </c>
      <c r="D843" s="38" t="str">
        <f>IF(ISNA(VLOOKUP(Tableau13[[#This Row],[Code]],'Code Véhicule'!$A$4:$C$185,3,0)),"",VLOOKUP(Tableau13[[#This Row],[Code]],'Code Véhicule'!$A$4:$C$185,3,0))</f>
        <v>Manitou MC 30</v>
      </c>
      <c r="E843" s="36" t="str">
        <f>IF(ISNA(VLOOKUP(Tableau13[[#This Row],[Code]],'Code Véhicule'!$A$4:$D$185,4,0))," ",VLOOKUP(Tableau13[[#This Row],[Code]],'Code Véhicule'!$A$4:$D$185,4,0))</f>
        <v>-</v>
      </c>
      <c r="F843" s="36">
        <v>26120</v>
      </c>
      <c r="G843" s="38" t="s">
        <v>932</v>
      </c>
      <c r="H843" s="38" t="s">
        <v>1633</v>
      </c>
      <c r="I843" s="36" t="s">
        <v>304</v>
      </c>
      <c r="J843" s="39" t="s">
        <v>1634</v>
      </c>
      <c r="K843" s="36" t="s">
        <v>1635</v>
      </c>
      <c r="L843" s="40">
        <v>3420</v>
      </c>
      <c r="M843" s="40">
        <v>9600</v>
      </c>
      <c r="N843" s="41">
        <v>44571</v>
      </c>
      <c r="O843" s="45"/>
      <c r="P843" s="45"/>
      <c r="Q843" s="176" t="e">
        <f>MONTH([1]!Tableau13[[#This Row],[Date début]])</f>
        <v>#REF!</v>
      </c>
      <c r="R843" s="180" t="e">
        <f>YEAR([1]!Tableau13[[#This Row],[Date début]])</f>
        <v>#REF!</v>
      </c>
      <c r="S843" s="44"/>
      <c r="T843" s="44"/>
    </row>
    <row r="844" spans="1:20" s="75" customFormat="1" ht="23.25">
      <c r="A844" s="35">
        <v>44552</v>
      </c>
      <c r="B844" s="36">
        <v>410</v>
      </c>
      <c r="C844" s="37" t="str">
        <f>IF(ISNA(VLOOKUP(Tableau13[[#This Row],[Code]],'Code Véhicule'!$A$4:$C$185,2,0)),"",VLOOKUP(Tableau13[[#This Row],[Code]],'Code Véhicule'!$A$4:$C$185,2,0))</f>
        <v>Semi remorque</v>
      </c>
      <c r="D844" s="38" t="str">
        <f>IF(ISNA(VLOOKUP(Tableau13[[#This Row],[Code]],'Code Véhicule'!$A$4:$C$185,3,0)),"",VLOOKUP(Tableau13[[#This Row],[Code]],'Code Véhicule'!$A$4:$C$185,3,0))</f>
        <v>MAN</v>
      </c>
      <c r="E844" s="36" t="str">
        <f>IF(ISNA(VLOOKUP(Tableau13[[#This Row],[Code]],'Code Véhicule'!$A$4:$D$185,4,0))," ",VLOOKUP(Tableau13[[#This Row],[Code]],'Code Véhicule'!$A$4:$D$185,4,0))</f>
        <v xml:space="preserve">28659-D-1 </v>
      </c>
      <c r="F844" s="36">
        <v>26109</v>
      </c>
      <c r="G844" s="38" t="s">
        <v>560</v>
      </c>
      <c r="H844" s="38" t="s">
        <v>604</v>
      </c>
      <c r="I844" s="36" t="s">
        <v>304</v>
      </c>
      <c r="J844" s="39" t="s">
        <v>1616</v>
      </c>
      <c r="K844" s="36">
        <v>174864</v>
      </c>
      <c r="L844" s="40">
        <v>180</v>
      </c>
      <c r="M844" s="40">
        <v>180</v>
      </c>
      <c r="N844" s="41">
        <v>44552</v>
      </c>
      <c r="O844" s="45"/>
      <c r="P844" s="45"/>
      <c r="Q844" s="176" t="e">
        <f>MONTH([1]!Tableau13[[#This Row],[Date début]])</f>
        <v>#REF!</v>
      </c>
      <c r="R844" s="180" t="e">
        <f>YEAR([1]!Tableau13[[#This Row],[Date début]])</f>
        <v>#REF!</v>
      </c>
      <c r="S844" s="44"/>
      <c r="T844" s="44"/>
    </row>
    <row r="845" spans="1:20" s="75" customFormat="1" ht="30">
      <c r="A845" s="35">
        <v>44553</v>
      </c>
      <c r="B845" s="36">
        <v>408</v>
      </c>
      <c r="C845" s="37" t="str">
        <f>IF(ISNA(VLOOKUP(Tableau13[[#This Row],[Code]],'Code Véhicule'!$A$4:$C$185,2,0)),"",VLOOKUP(Tableau13[[#This Row],[Code]],'Code Véhicule'!$A$4:$C$185,2,0))</f>
        <v>Camion</v>
      </c>
      <c r="D845" s="38" t="str">
        <f>IF(ISNA(VLOOKUP(Tableau13[[#This Row],[Code]],'Code Véhicule'!$A$4:$C$185,3,0)),"",VLOOKUP(Tableau13[[#This Row],[Code]],'Code Véhicule'!$A$4:$C$185,3,0))</f>
        <v>Mitsubishi</v>
      </c>
      <c r="E845" s="36" t="str">
        <f>IF(ISNA(VLOOKUP(Tableau13[[#This Row],[Code]],'Code Véhicule'!$A$4:$D$185,4,0))," ",VLOOKUP(Tableau13[[#This Row],[Code]],'Code Véhicule'!$A$4:$D$185,4,0))</f>
        <v>4703-A-73</v>
      </c>
      <c r="F845" s="36">
        <v>26110</v>
      </c>
      <c r="G845" s="38" t="s">
        <v>537</v>
      </c>
      <c r="H845" s="38" t="s">
        <v>1031</v>
      </c>
      <c r="I845" s="36" t="s">
        <v>304</v>
      </c>
      <c r="J845" s="39" t="s">
        <v>1617</v>
      </c>
      <c r="K845" s="36">
        <v>174865</v>
      </c>
      <c r="L845" s="40">
        <v>180</v>
      </c>
      <c r="M845" s="40">
        <v>180</v>
      </c>
      <c r="N845" s="41">
        <v>44553</v>
      </c>
      <c r="O845" s="45"/>
      <c r="P845" s="45"/>
      <c r="Q845" s="176" t="e">
        <f>MONTH([1]!Tableau13[[#This Row],[Date début]])</f>
        <v>#REF!</v>
      </c>
      <c r="R845" s="180" t="e">
        <f>YEAR([1]!Tableau13[[#This Row],[Date début]])</f>
        <v>#REF!</v>
      </c>
      <c r="S845" s="44"/>
      <c r="T845" s="44"/>
    </row>
    <row r="846" spans="1:20" s="75" customFormat="1" ht="45">
      <c r="A846" s="35">
        <v>44553</v>
      </c>
      <c r="B846" s="36">
        <v>472</v>
      </c>
      <c r="C846" s="37" t="str">
        <f>IF(ISNA(VLOOKUP(Tableau13[[#This Row],[Code]],'Code Véhicule'!$A$4:$C$185,2,0)),"",VLOOKUP(Tableau13[[#This Row],[Code]],'Code Véhicule'!$A$4:$C$185,2,0))</f>
        <v>Chariot elevateur</v>
      </c>
      <c r="D846" s="38" t="str">
        <f>IF(ISNA(VLOOKUP(Tableau13[[#This Row],[Code]],'Code Véhicule'!$A$4:$C$185,3,0)),"",VLOOKUP(Tableau13[[#This Row],[Code]],'Code Véhicule'!$A$4:$C$185,3,0))</f>
        <v>Linde H25d</v>
      </c>
      <c r="E846" s="36" t="str">
        <f>IF(ISNA(VLOOKUP(Tableau13[[#This Row],[Code]],'Code Véhicule'!$A$4:$D$185,4,0))," ",VLOOKUP(Tableau13[[#This Row],[Code]],'Code Véhicule'!$A$4:$D$185,4,0))</f>
        <v>-</v>
      </c>
      <c r="F846" s="36">
        <v>26111</v>
      </c>
      <c r="G846" s="38" t="s">
        <v>393</v>
      </c>
      <c r="H846" s="38" t="s">
        <v>608</v>
      </c>
      <c r="I846" s="36" t="s">
        <v>304</v>
      </c>
      <c r="J846" s="39" t="s">
        <v>1618</v>
      </c>
      <c r="K846" s="36">
        <v>174867</v>
      </c>
      <c r="L846" s="40">
        <v>120</v>
      </c>
      <c r="M846" s="40">
        <v>120</v>
      </c>
      <c r="N846" s="41">
        <v>44553</v>
      </c>
      <c r="O846" s="45"/>
      <c r="P846" s="45"/>
      <c r="Q846" s="176" t="e">
        <f>MONTH([1]!Tableau13[[#This Row],[Date début]])</f>
        <v>#REF!</v>
      </c>
      <c r="R846" s="180" t="e">
        <f>YEAR([1]!Tableau13[[#This Row],[Date début]])</f>
        <v>#REF!</v>
      </c>
      <c r="S846" s="44"/>
      <c r="T846" s="44"/>
    </row>
    <row r="847" spans="1:20" s="75" customFormat="1" ht="45">
      <c r="A847" s="35">
        <v>44554</v>
      </c>
      <c r="B847" s="36">
        <v>480</v>
      </c>
      <c r="C847" s="37" t="str">
        <f>IF(ISNA(VLOOKUP(Tableau13[[#This Row],[Code]],'Code Véhicule'!$A$4:$C$185,2,0)),"",VLOOKUP(Tableau13[[#This Row],[Code]],'Code Véhicule'!$A$4:$C$185,2,0))</f>
        <v>Camion</v>
      </c>
      <c r="D847" s="38" t="str">
        <f>IF(ISNA(VLOOKUP(Tableau13[[#This Row],[Code]],'Code Véhicule'!$A$4:$C$185,3,0)),"",VLOOKUP(Tableau13[[#This Row],[Code]],'Code Véhicule'!$A$4:$C$185,3,0))</f>
        <v>VOLVO</v>
      </c>
      <c r="E847" s="36" t="str">
        <f>IF(ISNA(VLOOKUP(Tableau13[[#This Row],[Code]],'Code Véhicule'!$A$4:$D$185,4,0))," ",VLOOKUP(Tableau13[[#This Row],[Code]],'Code Véhicule'!$A$4:$D$185,4,0))</f>
        <v>22299-A-73</v>
      </c>
      <c r="F847" s="36">
        <v>26114</v>
      </c>
      <c r="G847" s="38" t="s">
        <v>393</v>
      </c>
      <c r="H847" s="38" t="s">
        <v>608</v>
      </c>
      <c r="I847" s="36" t="s">
        <v>302</v>
      </c>
      <c r="J847" s="39" t="s">
        <v>1622</v>
      </c>
      <c r="K847" s="36">
        <v>174873</v>
      </c>
      <c r="L847" s="40">
        <v>120</v>
      </c>
      <c r="M847" s="40">
        <v>120</v>
      </c>
      <c r="N847" s="41">
        <v>44554</v>
      </c>
      <c r="O847" s="45"/>
      <c r="P847" s="45"/>
      <c r="Q847" s="176" t="e">
        <f>MONTH([1]!Tableau13[[#This Row],[Date début]])</f>
        <v>#REF!</v>
      </c>
      <c r="R847" s="180" t="e">
        <f>YEAR([1]!Tableau13[[#This Row],[Date début]])</f>
        <v>#REF!</v>
      </c>
      <c r="S847" s="44"/>
      <c r="T847" s="44"/>
    </row>
    <row r="848" spans="1:20" s="75" customFormat="1" ht="60">
      <c r="A848" s="35">
        <v>44554</v>
      </c>
      <c r="B848" s="36">
        <v>410</v>
      </c>
      <c r="C848" s="37" t="str">
        <f>IF(ISNA(VLOOKUP(Tableau13[[#This Row],[Code]],'Code Véhicule'!$A$4:$C$185,2,0)),"",VLOOKUP(Tableau13[[#This Row],[Code]],'Code Véhicule'!$A$4:$C$185,2,0))</f>
        <v>Semi remorque</v>
      </c>
      <c r="D848" s="38" t="str">
        <f>IF(ISNA(VLOOKUP(Tableau13[[#This Row],[Code]],'Code Véhicule'!$A$4:$C$185,3,0)),"",VLOOKUP(Tableau13[[#This Row],[Code]],'Code Véhicule'!$A$4:$C$185,3,0))</f>
        <v>MAN</v>
      </c>
      <c r="E848" s="36" t="str">
        <f>IF(ISNA(VLOOKUP(Tableau13[[#This Row],[Code]],'Code Véhicule'!$A$4:$D$185,4,0))," ",VLOOKUP(Tableau13[[#This Row],[Code]],'Code Véhicule'!$A$4:$D$185,4,0))</f>
        <v xml:space="preserve">28659-D-1 </v>
      </c>
      <c r="F848" s="36">
        <v>24115</v>
      </c>
      <c r="G848" s="38" t="s">
        <v>393</v>
      </c>
      <c r="H848" s="38" t="s">
        <v>608</v>
      </c>
      <c r="I848" s="36" t="s">
        <v>302</v>
      </c>
      <c r="J848" s="39" t="s">
        <v>1716</v>
      </c>
      <c r="K848" s="36">
        <v>174874</v>
      </c>
      <c r="L848" s="40">
        <v>120</v>
      </c>
      <c r="M848" s="40">
        <v>120</v>
      </c>
      <c r="N848" s="41">
        <v>44554</v>
      </c>
      <c r="O848" s="45"/>
      <c r="P848" s="45"/>
      <c r="Q848" s="176" t="e">
        <f>MONTH([1]!Tableau13[[#This Row],[Date début]])</f>
        <v>#REF!</v>
      </c>
      <c r="R848" s="180" t="e">
        <f>YEAR([1]!Tableau13[[#This Row],[Date début]])</f>
        <v>#REF!</v>
      </c>
      <c r="S848" s="44"/>
      <c r="T848" s="44"/>
    </row>
    <row r="849" spans="1:20" s="75" customFormat="1" ht="30">
      <c r="A849" s="35">
        <v>44556</v>
      </c>
      <c r="B849" s="36">
        <v>435</v>
      </c>
      <c r="C849" s="37" t="str">
        <f>IF(ISNA(VLOOKUP(Tableau13[[#This Row],[Code]],'Code Véhicule'!$A$4:$C$185,2,0)),"",VLOOKUP(Tableau13[[#This Row],[Code]],'Code Véhicule'!$A$4:$C$185,2,0))</f>
        <v>Camion</v>
      </c>
      <c r="D849" s="38" t="str">
        <f>IF(ISNA(VLOOKUP(Tableau13[[#This Row],[Code]],'Code Véhicule'!$A$4:$C$185,3,0)),"",VLOOKUP(Tableau13[[#This Row],[Code]],'Code Véhicule'!$A$4:$C$185,3,0))</f>
        <v>Mitsubishi</v>
      </c>
      <c r="E849" s="36" t="str">
        <f>IF(ISNA(VLOOKUP(Tableau13[[#This Row],[Code]],'Code Véhicule'!$A$4:$D$185,4,0))," ",VLOOKUP(Tableau13[[#This Row],[Code]],'Code Véhicule'!$A$4:$D$185,4,0))</f>
        <v xml:space="preserve"> 11469-A-73</v>
      </c>
      <c r="F849" s="36">
        <v>24116</v>
      </c>
      <c r="G849" s="38" t="s">
        <v>1623</v>
      </c>
      <c r="H849" s="38" t="s">
        <v>1624</v>
      </c>
      <c r="I849" s="36" t="s">
        <v>304</v>
      </c>
      <c r="J849" s="39" t="s">
        <v>1625</v>
      </c>
      <c r="K849" s="36">
        <v>174898</v>
      </c>
      <c r="L849" s="40">
        <v>570</v>
      </c>
      <c r="M849" s="40">
        <v>570</v>
      </c>
      <c r="N849" s="41">
        <v>44556</v>
      </c>
      <c r="O849" s="45"/>
      <c r="P849" s="45"/>
      <c r="Q849" s="176" t="e">
        <f>MONTH([1]!Tableau13[[#This Row],[Date début]])</f>
        <v>#REF!</v>
      </c>
      <c r="R849" s="180" t="e">
        <f>YEAR([1]!Tableau13[[#This Row],[Date début]])</f>
        <v>#REF!</v>
      </c>
      <c r="S849" s="44"/>
      <c r="T849" s="44"/>
    </row>
    <row r="850" spans="1:20" s="75" customFormat="1" ht="45">
      <c r="A850" s="35">
        <v>44558</v>
      </c>
      <c r="B850" s="36">
        <v>438</v>
      </c>
      <c r="C850" s="37" t="str">
        <f>IF(ISNA(VLOOKUP(Tableau13[[#This Row],[Code]],'Code Véhicule'!$A$4:$C$185,2,0)),"",VLOOKUP(Tableau13[[#This Row],[Code]],'Code Véhicule'!$A$4:$C$185,2,0))</f>
        <v>Semi remorque</v>
      </c>
      <c r="D850" s="38" t="str">
        <f>IF(ISNA(VLOOKUP(Tableau13[[#This Row],[Code]],'Code Véhicule'!$A$4:$C$185,3,0)),"",VLOOKUP(Tableau13[[#This Row],[Code]],'Code Véhicule'!$A$4:$C$185,3,0))</f>
        <v>VOLVO</v>
      </c>
      <c r="E850" s="36" t="str">
        <f>IF(ISNA(VLOOKUP(Tableau13[[#This Row],[Code]],'Code Véhicule'!$A$4:$D$185,4,0))," ",VLOOKUP(Tableau13[[#This Row],[Code]],'Code Véhicule'!$A$4:$D$185,4,0))</f>
        <v xml:space="preserve">17885-A-73 </v>
      </c>
      <c r="F850" s="36">
        <v>26117</v>
      </c>
      <c r="G850" s="38" t="s">
        <v>1626</v>
      </c>
      <c r="H850" s="38" t="s">
        <v>1627</v>
      </c>
      <c r="I850" s="36" t="s">
        <v>304</v>
      </c>
      <c r="J850" s="39" t="s">
        <v>1628</v>
      </c>
      <c r="K850" s="36" t="s">
        <v>1629</v>
      </c>
      <c r="L850" s="40">
        <v>360</v>
      </c>
      <c r="M850" s="40">
        <v>360</v>
      </c>
      <c r="N850" s="41">
        <v>44558</v>
      </c>
      <c r="O850" s="45"/>
      <c r="P850" s="45"/>
      <c r="Q850" s="176" t="e">
        <f>MONTH([1]!Tableau13[[#This Row],[Date début]])</f>
        <v>#REF!</v>
      </c>
      <c r="R850" s="180" t="e">
        <f>YEAR([1]!Tableau13[[#This Row],[Date début]])</f>
        <v>#REF!</v>
      </c>
      <c r="S850" s="44"/>
      <c r="T850" s="44"/>
    </row>
    <row r="851" spans="1:20" s="75" customFormat="1" ht="45">
      <c r="A851" s="35">
        <v>44558</v>
      </c>
      <c r="B851" s="36">
        <v>407</v>
      </c>
      <c r="C851" s="37" t="str">
        <f>IF(ISNA(VLOOKUP(Tableau13[[#This Row],[Code]],'Code Véhicule'!$A$4:$C$185,2,0)),"",VLOOKUP(Tableau13[[#This Row],[Code]],'Code Véhicule'!$A$4:$C$185,2,0))</f>
        <v>Semi remorque</v>
      </c>
      <c r="D851" s="38" t="str">
        <f>IF(ISNA(VLOOKUP(Tableau13[[#This Row],[Code]],'Code Véhicule'!$A$4:$C$185,3,0)),"",VLOOKUP(Tableau13[[#This Row],[Code]],'Code Véhicule'!$A$4:$C$185,3,0))</f>
        <v>MAN</v>
      </c>
      <c r="E851" s="36" t="str">
        <f>IF(ISNA(VLOOKUP(Tableau13[[#This Row],[Code]],'Code Véhicule'!$A$4:$D$185,4,0))," ",VLOOKUP(Tableau13[[#This Row],[Code]],'Code Véhicule'!$A$4:$D$185,4,0))</f>
        <v>706-A-73</v>
      </c>
      <c r="F851" s="36">
        <v>26118</v>
      </c>
      <c r="G851" s="38" t="s">
        <v>393</v>
      </c>
      <c r="H851" s="38" t="s">
        <v>608</v>
      </c>
      <c r="I851" s="36" t="s">
        <v>302</v>
      </c>
      <c r="J851" s="39" t="s">
        <v>1630</v>
      </c>
      <c r="K851" s="36">
        <v>174891</v>
      </c>
      <c r="L851" s="40">
        <v>240</v>
      </c>
      <c r="M851" s="40">
        <v>240</v>
      </c>
      <c r="N851" s="41">
        <v>44558</v>
      </c>
      <c r="O851" s="45"/>
      <c r="P851" s="45"/>
      <c r="Q851" s="176" t="e">
        <f>MONTH([1]!Tableau13[[#This Row],[Date début]])</f>
        <v>#REF!</v>
      </c>
      <c r="R851" s="180" t="e">
        <f>YEAR([1]!Tableau13[[#This Row],[Date début]])</f>
        <v>#REF!</v>
      </c>
      <c r="S851" s="44"/>
      <c r="T851" s="44"/>
    </row>
    <row r="852" spans="1:20" s="75" customFormat="1" ht="23.25">
      <c r="A852" s="35">
        <v>44558</v>
      </c>
      <c r="B852" s="36">
        <v>420</v>
      </c>
      <c r="C852" s="37" t="str">
        <f>IF(ISNA(VLOOKUP(Tableau13[[#This Row],[Code]],'Code Véhicule'!$A$4:$C$185,2,0)),"",VLOOKUP(Tableau13[[#This Row],[Code]],'Code Véhicule'!$A$4:$C$185,2,0))</f>
        <v>Chariot elevateur</v>
      </c>
      <c r="D852" s="38" t="str">
        <f>IF(ISNA(VLOOKUP(Tableau13[[#This Row],[Code]],'Code Véhicule'!$A$4:$C$185,3,0)),"",VLOOKUP(Tableau13[[#This Row],[Code]],'Code Véhicule'!$A$4:$C$185,3,0))</f>
        <v>linde h 45</v>
      </c>
      <c r="E852" s="36">
        <f>IF(ISNA(VLOOKUP(Tableau13[[#This Row],[Code]],'Code Véhicule'!$A$4:$D$185,4,0))," ",VLOOKUP(Tableau13[[#This Row],[Code]],'Code Véhicule'!$A$4:$D$185,4,0))</f>
        <v>0</v>
      </c>
      <c r="F852" s="36">
        <v>26119</v>
      </c>
      <c r="G852" s="38" t="s">
        <v>1631</v>
      </c>
      <c r="H852" s="38" t="s">
        <v>601</v>
      </c>
      <c r="I852" s="36" t="s">
        <v>304</v>
      </c>
      <c r="J852" s="39" t="s">
        <v>1632</v>
      </c>
      <c r="K852" s="36">
        <v>174894</v>
      </c>
      <c r="L852" s="40">
        <v>240</v>
      </c>
      <c r="M852" s="40">
        <v>240</v>
      </c>
      <c r="N852" s="41">
        <v>44558</v>
      </c>
      <c r="O852" s="45"/>
      <c r="P852" s="45"/>
      <c r="Q852" s="176" t="e">
        <f>MONTH([1]!Tableau13[[#This Row],[Date début]])</f>
        <v>#REF!</v>
      </c>
      <c r="R852" s="180" t="e">
        <f>YEAR([1]!Tableau13[[#This Row],[Date début]])</f>
        <v>#REF!</v>
      </c>
      <c r="S852" s="44"/>
      <c r="T852" s="44"/>
    </row>
    <row r="853" spans="1:20" s="75" customFormat="1" ht="75">
      <c r="A853" s="35">
        <v>44562</v>
      </c>
      <c r="B853" s="36">
        <v>433</v>
      </c>
      <c r="C853" s="37" t="str">
        <f>IF(ISNA(VLOOKUP(Tableau13[[#This Row],[Code]],'Code Véhicule'!$A$4:$C$185,2,0)),"",VLOOKUP(Tableau13[[#This Row],[Code]],'Code Véhicule'!$A$4:$C$185,2,0))</f>
        <v>Voiture de fonction</v>
      </c>
      <c r="D853" s="38" t="str">
        <f>IF(ISNA(VLOOKUP(Tableau13[[#This Row],[Code]],'Code Véhicule'!$A$4:$C$185,3,0)),"",VLOOKUP(Tableau13[[#This Row],[Code]],'Code Véhicule'!$A$4:$C$185,3,0))</f>
        <v>Berlingo</v>
      </c>
      <c r="E853" s="36" t="str">
        <f>IF(ISNA(VLOOKUP(Tableau13[[#This Row],[Code]],'Code Véhicule'!$A$4:$D$185,4,0))," ",VLOOKUP(Tableau13[[#This Row],[Code]],'Code Véhicule'!$A$4:$D$185,4,0))</f>
        <v>10551-A-73</v>
      </c>
      <c r="F853" s="36">
        <v>26088</v>
      </c>
      <c r="G853" s="38" t="s">
        <v>393</v>
      </c>
      <c r="H853" s="38" t="s">
        <v>608</v>
      </c>
      <c r="I853" s="36" t="s">
        <v>302</v>
      </c>
      <c r="J853" s="39" t="s">
        <v>1734</v>
      </c>
      <c r="K853" s="36"/>
      <c r="L853" s="40"/>
      <c r="M853" s="40" t="str">
        <f>IF(ISBLANK(Tableau13[[#This Row],[N BS]]),"",(Tableau13[[#This Row],[N BS]]-Tableau13[[#This Row],[Date début]]))</f>
        <v/>
      </c>
      <c r="N853" s="41">
        <v>44562</v>
      </c>
      <c r="O853" s="45"/>
      <c r="P853" s="45"/>
      <c r="Q853" s="176" t="e">
        <f>MONTH([1]!Tableau13[[#This Row],[Date début]])</f>
        <v>#REF!</v>
      </c>
      <c r="R853" s="180" t="e">
        <f>YEAR([1]!Tableau13[[#This Row],[Date début]])</f>
        <v>#REF!</v>
      </c>
      <c r="S853" s="44"/>
      <c r="T853" s="44"/>
    </row>
    <row r="854" spans="1:20" s="75" customFormat="1" ht="23.25">
      <c r="A854" s="35">
        <v>44564</v>
      </c>
      <c r="B854" s="36">
        <v>411</v>
      </c>
      <c r="C854" s="37" t="str">
        <f>IF(ISNA(VLOOKUP(Tableau13[[#This Row],[Code]],'Code Véhicule'!$A$4:$C$185,2,0)),"",VLOOKUP(Tableau13[[#This Row],[Code]],'Code Véhicule'!$A$4:$C$185,2,0))</f>
        <v>Camion</v>
      </c>
      <c r="D854" s="38" t="str">
        <f>IF(ISNA(VLOOKUP(Tableau13[[#This Row],[Code]],'Code Véhicule'!$A$4:$C$185,3,0)),"",VLOOKUP(Tableau13[[#This Row],[Code]],'Code Véhicule'!$A$4:$C$185,3,0))</f>
        <v>Renault</v>
      </c>
      <c r="E854" s="36" t="str">
        <f>IF(ISNA(VLOOKUP(Tableau13[[#This Row],[Code]],'Code Véhicule'!$A$4:$D$185,4,0))," ",VLOOKUP(Tableau13[[#This Row],[Code]],'Code Véhicule'!$A$4:$D$185,4,0))</f>
        <v>25636-A-13</v>
      </c>
      <c r="F854" s="36">
        <v>26124</v>
      </c>
      <c r="G854" s="38" t="s">
        <v>1146</v>
      </c>
      <c r="H854" s="38" t="s">
        <v>1640</v>
      </c>
      <c r="I854" s="36" t="s">
        <v>304</v>
      </c>
      <c r="J854" s="39" t="s">
        <v>1641</v>
      </c>
      <c r="K854" s="36"/>
      <c r="L854" s="40">
        <f>570*4</f>
        <v>2280</v>
      </c>
      <c r="M854" s="40">
        <v>5700</v>
      </c>
      <c r="N854" s="41">
        <v>44576</v>
      </c>
      <c r="O854" s="45"/>
      <c r="P854" s="45"/>
      <c r="Q854" s="176" t="e">
        <f>MONTH([1]!Tableau13[[#This Row],[Date début]])</f>
        <v>#REF!</v>
      </c>
      <c r="R854" s="180" t="e">
        <f>YEAR([1]!Tableau13[[#This Row],[Date début]])</f>
        <v>#REF!</v>
      </c>
      <c r="S854" s="44"/>
      <c r="T854" s="44"/>
    </row>
    <row r="855" spans="1:20" s="75" customFormat="1" ht="60">
      <c r="A855" s="35">
        <v>44566</v>
      </c>
      <c r="B855" s="36">
        <v>436</v>
      </c>
      <c r="C855" s="37" t="str">
        <f>IF(ISNA(VLOOKUP(Tableau13[[#This Row],[Code]],'Code Véhicule'!$A$4:$C$185,2,0)),"",VLOOKUP(Tableau13[[#This Row],[Code]],'Code Véhicule'!$A$4:$C$185,2,0))</f>
        <v>Camion</v>
      </c>
      <c r="D855" s="38" t="str">
        <f>IF(ISNA(VLOOKUP(Tableau13[[#This Row],[Code]],'Code Véhicule'!$A$4:$C$185,3,0)),"",VLOOKUP(Tableau13[[#This Row],[Code]],'Code Véhicule'!$A$4:$C$185,3,0))</f>
        <v>Mitsubishi</v>
      </c>
      <c r="E855" s="36" t="str">
        <f>IF(ISNA(VLOOKUP(Tableau13[[#This Row],[Code]],'Code Véhicule'!$A$4:$D$185,4,0))," ",VLOOKUP(Tableau13[[#This Row],[Code]],'Code Véhicule'!$A$4:$D$185,4,0))</f>
        <v>11470-A-73</v>
      </c>
      <c r="F855" s="36">
        <v>26089</v>
      </c>
      <c r="G855" s="38" t="s">
        <v>393</v>
      </c>
      <c r="H855" s="38" t="s">
        <v>608</v>
      </c>
      <c r="I855" s="36" t="s">
        <v>302</v>
      </c>
      <c r="J855" s="39" t="s">
        <v>1735</v>
      </c>
      <c r="K855" s="36">
        <v>175078</v>
      </c>
      <c r="L855" s="40">
        <v>120</v>
      </c>
      <c r="M855" s="40">
        <v>120</v>
      </c>
      <c r="N855" s="41">
        <v>44566</v>
      </c>
      <c r="O855" s="45"/>
      <c r="P855" s="45"/>
      <c r="Q855" s="176" t="e">
        <f>MONTH([1]!Tableau13[[#This Row],[Date début]])</f>
        <v>#REF!</v>
      </c>
      <c r="R855" s="180" t="e">
        <f>YEAR([1]!Tableau13[[#This Row],[Date début]])</f>
        <v>#REF!</v>
      </c>
      <c r="S855" s="44"/>
      <c r="T855" s="44"/>
    </row>
    <row r="856" spans="1:20" s="75" customFormat="1" ht="30">
      <c r="A856" s="91">
        <v>44566</v>
      </c>
      <c r="B856" s="92">
        <v>481</v>
      </c>
      <c r="C856" s="93" t="str">
        <f>IF(ISNA(VLOOKUP(Tableau13[[#This Row],[Code]],'Code Véhicule'!$A$4:$C$185,2,0)),"",VLOOKUP(Tableau13[[#This Row],[Code]],'Code Véhicule'!$A$4:$C$185,2,0))</f>
        <v>Camion</v>
      </c>
      <c r="D856" s="94" t="str">
        <f>IF(ISNA(VLOOKUP(Tableau13[[#This Row],[Code]],'Code Véhicule'!$A$4:$C$185,3,0)),"",VLOOKUP(Tableau13[[#This Row],[Code]],'Code Véhicule'!$A$4:$C$185,3,0))</f>
        <v>VOLVO</v>
      </c>
      <c r="E856" s="92" t="str">
        <f>IF(ISNA(VLOOKUP(Tableau13[[#This Row],[Code]],'Code Véhicule'!$A$4:$D$185,4,0))," ",VLOOKUP(Tableau13[[#This Row],[Code]],'Code Véhicule'!$A$4:$D$185,4,0))</f>
        <v>22300-A-73</v>
      </c>
      <c r="F856" s="92">
        <v>26091</v>
      </c>
      <c r="G856" s="94" t="s">
        <v>327</v>
      </c>
      <c r="H856" s="94" t="s">
        <v>1034</v>
      </c>
      <c r="I856" s="92" t="s">
        <v>304</v>
      </c>
      <c r="J856" s="95" t="s">
        <v>1738</v>
      </c>
      <c r="K856" s="92">
        <v>175085</v>
      </c>
      <c r="L856" s="96">
        <v>120</v>
      </c>
      <c r="M856" s="96">
        <v>120</v>
      </c>
      <c r="N856" s="97">
        <v>44566</v>
      </c>
      <c r="O856" s="98"/>
      <c r="P856" s="98"/>
      <c r="Q856" s="177" t="e">
        <f>MONTH([1]!Tableau13[[#This Row],[Date début]])</f>
        <v>#REF!</v>
      </c>
      <c r="R856" s="181" t="e">
        <f>YEAR([1]!Tableau13[[#This Row],[Date début]])</f>
        <v>#REF!</v>
      </c>
      <c r="S856" s="44"/>
      <c r="T856" s="44"/>
    </row>
    <row r="857" spans="1:20" s="75" customFormat="1" ht="60">
      <c r="A857" s="91">
        <v>44568</v>
      </c>
      <c r="B857" s="92">
        <v>403</v>
      </c>
      <c r="C857" s="93" t="str">
        <f>IF(ISNA(VLOOKUP(Tableau13[[#This Row],[Code]],'Code Véhicule'!$A$4:$C$185,2,0)),"",VLOOKUP(Tableau13[[#This Row],[Code]],'Code Véhicule'!$A$4:$C$185,2,0))</f>
        <v>Camion</v>
      </c>
      <c r="D857" s="94" t="str">
        <f>IF(ISNA(VLOOKUP(Tableau13[[#This Row],[Code]],'Code Véhicule'!$A$4:$C$185,3,0)),"",VLOOKUP(Tableau13[[#This Row],[Code]],'Code Véhicule'!$A$4:$C$185,3,0))</f>
        <v>MAN</v>
      </c>
      <c r="E857" s="92" t="str">
        <f>IF(ISNA(VLOOKUP(Tableau13[[#This Row],[Code]],'Code Véhicule'!$A$4:$D$185,4,0))," ",VLOOKUP(Tableau13[[#This Row],[Code]],'Code Véhicule'!$A$4:$D$185,4,0))</f>
        <v>4790-B-8</v>
      </c>
      <c r="F857" s="92">
        <v>26092</v>
      </c>
      <c r="G857" s="94" t="s">
        <v>1739</v>
      </c>
      <c r="H857" s="94" t="s">
        <v>1034</v>
      </c>
      <c r="I857" s="92" t="s">
        <v>304</v>
      </c>
      <c r="J857" s="114" t="s">
        <v>1740</v>
      </c>
      <c r="K857" s="92">
        <v>175091</v>
      </c>
      <c r="L857" s="96">
        <v>120</v>
      </c>
      <c r="M857" s="96">
        <v>120</v>
      </c>
      <c r="N857" s="97">
        <v>44568</v>
      </c>
      <c r="O857" s="98"/>
      <c r="P857" s="98"/>
      <c r="Q857" s="177" t="e">
        <f>MONTH([1]!Tableau13[[#This Row],[Date début]])</f>
        <v>#REF!</v>
      </c>
      <c r="R857" s="181" t="e">
        <f>YEAR([1]!Tableau13[[#This Row],[Date début]])</f>
        <v>#REF!</v>
      </c>
      <c r="S857" s="44"/>
      <c r="T857" s="44"/>
    </row>
    <row r="858" spans="1:20" s="75" customFormat="1" ht="30">
      <c r="A858" s="91">
        <v>44568</v>
      </c>
      <c r="B858" s="92">
        <v>409</v>
      </c>
      <c r="C858" s="93" t="str">
        <f>IF(ISNA(VLOOKUP(Tableau13[[#This Row],[Code]],'Code Véhicule'!$A$4:$C$185,2,0)),"",VLOOKUP(Tableau13[[#This Row],[Code]],'Code Véhicule'!$A$4:$C$185,2,0))</f>
        <v>Camion</v>
      </c>
      <c r="D858" s="94" t="str">
        <f>IF(ISNA(VLOOKUP(Tableau13[[#This Row],[Code]],'Code Véhicule'!$A$4:$C$185,3,0)),"",VLOOKUP(Tableau13[[#This Row],[Code]],'Code Véhicule'!$A$4:$C$185,3,0))</f>
        <v>Mitsubishi</v>
      </c>
      <c r="E858" s="92" t="str">
        <f>IF(ISNA(VLOOKUP(Tableau13[[#This Row],[Code]],'Code Véhicule'!$A$4:$D$185,4,0))," ",VLOOKUP(Tableau13[[#This Row],[Code]],'Code Véhicule'!$A$4:$D$185,4,0))</f>
        <v xml:space="preserve">4969-A-73 </v>
      </c>
      <c r="F858" s="92">
        <v>26093</v>
      </c>
      <c r="G858" s="94" t="s">
        <v>511</v>
      </c>
      <c r="H858" s="94" t="s">
        <v>672</v>
      </c>
      <c r="I858" s="92" t="s">
        <v>304</v>
      </c>
      <c r="J858" s="95" t="s">
        <v>1741</v>
      </c>
      <c r="K858" s="92">
        <v>175093</v>
      </c>
      <c r="L858" s="96">
        <v>180</v>
      </c>
      <c r="M858" s="96">
        <v>180</v>
      </c>
      <c r="N858" s="97">
        <v>44568</v>
      </c>
      <c r="O858" s="98"/>
      <c r="P858" s="98"/>
      <c r="Q858" s="177" t="e">
        <f>MONTH([1]!Tableau13[[#This Row],[Date début]])</f>
        <v>#REF!</v>
      </c>
      <c r="R858" s="181" t="e">
        <f>YEAR([1]!Tableau13[[#This Row],[Date début]])</f>
        <v>#REF!</v>
      </c>
      <c r="S858" s="44"/>
      <c r="T858" s="44"/>
    </row>
    <row r="859" spans="1:20" s="75" customFormat="1" ht="45">
      <c r="A859" s="35">
        <v>44569</v>
      </c>
      <c r="B859" s="36">
        <v>407</v>
      </c>
      <c r="C859" s="37" t="str">
        <f>IF(ISNA(VLOOKUP(Tableau13[[#This Row],[Code]],'Code Véhicule'!$A$4:$C$185,2,0)),"",VLOOKUP(Tableau13[[#This Row],[Code]],'Code Véhicule'!$A$4:$C$185,2,0))</f>
        <v>Semi remorque</v>
      </c>
      <c r="D859" s="38" t="str">
        <f>IF(ISNA(VLOOKUP(Tableau13[[#This Row],[Code]],'Code Véhicule'!$A$4:$C$185,3,0)),"",VLOOKUP(Tableau13[[#This Row],[Code]],'Code Véhicule'!$A$4:$C$185,3,0))</f>
        <v>MAN</v>
      </c>
      <c r="E859" s="36" t="str">
        <f>IF(ISNA(VLOOKUP(Tableau13[[#This Row],[Code]],'Code Véhicule'!$A$4:$D$185,4,0))," ",VLOOKUP(Tableau13[[#This Row],[Code]],'Code Véhicule'!$A$4:$D$185,4,0))</f>
        <v>706-A-73</v>
      </c>
      <c r="F859" s="36">
        <v>26121</v>
      </c>
      <c r="G859" s="38" t="s">
        <v>523</v>
      </c>
      <c r="H859" s="38" t="s">
        <v>1542</v>
      </c>
      <c r="I859" s="36" t="s">
        <v>304</v>
      </c>
      <c r="J859" s="39" t="s">
        <v>1636</v>
      </c>
      <c r="K859" s="36">
        <v>175408</v>
      </c>
      <c r="L859" s="40">
        <v>180</v>
      </c>
      <c r="M859" s="40">
        <v>180</v>
      </c>
      <c r="N859" s="41">
        <v>44569</v>
      </c>
      <c r="O859" s="45"/>
      <c r="P859" s="45"/>
      <c r="Q859" s="176" t="e">
        <f>MONTH([1]!Tableau13[[#This Row],[Date début]])</f>
        <v>#REF!</v>
      </c>
      <c r="R859" s="180" t="e">
        <f>YEAR([1]!Tableau13[[#This Row],[Date début]])</f>
        <v>#REF!</v>
      </c>
      <c r="S859" s="44"/>
      <c r="T859" s="44"/>
    </row>
    <row r="860" spans="1:20" s="75" customFormat="1" ht="30">
      <c r="A860" s="35">
        <v>44569</v>
      </c>
      <c r="B860" s="36">
        <v>429</v>
      </c>
      <c r="C860" s="37" t="str">
        <f>IF(ISNA(VLOOKUP(Tableau13[[#This Row],[Code]],'Code Véhicule'!$A$4:$C$185,2,0)),"",VLOOKUP(Tableau13[[#This Row],[Code]],'Code Véhicule'!$A$4:$C$185,2,0))</f>
        <v>Chariot elevateur</v>
      </c>
      <c r="D860" s="38" t="str">
        <f>IF(ISNA(VLOOKUP(Tableau13[[#This Row],[Code]],'Code Véhicule'!$A$4:$C$185,3,0)),"",VLOOKUP(Tableau13[[#This Row],[Code]],'Code Véhicule'!$A$4:$C$185,3,0))</f>
        <v>Fenwick HD30</v>
      </c>
      <c r="E860" s="36" t="str">
        <f>IF(ISNA(VLOOKUP(Tableau13[[#This Row],[Code]],'Code Véhicule'!$A$4:$D$185,4,0))," ",VLOOKUP(Tableau13[[#This Row],[Code]],'Code Véhicule'!$A$4:$D$185,4,0))</f>
        <v>-</v>
      </c>
      <c r="F860" s="36">
        <v>26123</v>
      </c>
      <c r="G860" s="38" t="s">
        <v>843</v>
      </c>
      <c r="H860" s="38" t="s">
        <v>1637</v>
      </c>
      <c r="I860" s="36" t="s">
        <v>304</v>
      </c>
      <c r="J860" s="39" t="s">
        <v>1638</v>
      </c>
      <c r="K860" s="36" t="s">
        <v>1639</v>
      </c>
      <c r="L860" s="40">
        <v>240</v>
      </c>
      <c r="M860" s="40">
        <v>240</v>
      </c>
      <c r="N860" s="41">
        <v>44569</v>
      </c>
      <c r="O860" s="45"/>
      <c r="P860" s="45"/>
      <c r="Q860" s="176" t="e">
        <f>MONTH([1]!Tableau13[[#This Row],[Date début]])</f>
        <v>#REF!</v>
      </c>
      <c r="R860" s="180" t="e">
        <f>YEAR([1]!Tableau13[[#This Row],[Date début]])</f>
        <v>#REF!</v>
      </c>
      <c r="S860" s="44"/>
      <c r="T860" s="44"/>
    </row>
    <row r="861" spans="1:20" s="75" customFormat="1" ht="23.25">
      <c r="A861" s="35">
        <v>44570</v>
      </c>
      <c r="B861" s="36">
        <v>436</v>
      </c>
      <c r="C861" s="37" t="str">
        <f>IF(ISNA(VLOOKUP(Tableau13[[#This Row],[Code]],'Code Véhicule'!$A$4:$C$185,2,0)),"",VLOOKUP(Tableau13[[#This Row],[Code]],'Code Véhicule'!$A$4:$C$185,2,0))</f>
        <v>Camion</v>
      </c>
      <c r="D861" s="38" t="str">
        <f>IF(ISNA(VLOOKUP(Tableau13[[#This Row],[Code]],'Code Véhicule'!$A$4:$C$185,3,0)),"",VLOOKUP(Tableau13[[#This Row],[Code]],'Code Véhicule'!$A$4:$C$185,3,0))</f>
        <v>Mitsubishi</v>
      </c>
      <c r="E861" s="36" t="str">
        <f>IF(ISNA(VLOOKUP(Tableau13[[#This Row],[Code]],'Code Véhicule'!$A$4:$D$185,4,0))," ",VLOOKUP(Tableau13[[#This Row],[Code]],'Code Véhicule'!$A$4:$D$185,4,0))</f>
        <v>11470-A-73</v>
      </c>
      <c r="F861" s="36">
        <v>26126</v>
      </c>
      <c r="G861" s="38" t="s">
        <v>610</v>
      </c>
      <c r="H861" s="38" t="s">
        <v>1643</v>
      </c>
      <c r="I861" s="36" t="s">
        <v>304</v>
      </c>
      <c r="J861" s="39" t="s">
        <v>792</v>
      </c>
      <c r="K861" s="36">
        <v>175414</v>
      </c>
      <c r="L861" s="40">
        <v>570</v>
      </c>
      <c r="M861" s="40">
        <v>570</v>
      </c>
      <c r="N861" s="41">
        <v>44570</v>
      </c>
      <c r="O861" s="45"/>
      <c r="P861" s="45"/>
      <c r="Q861" s="176" t="e">
        <f>MONTH([1]!Tableau13[[#This Row],[Date début]])</f>
        <v>#REF!</v>
      </c>
      <c r="R861" s="180" t="e">
        <f>YEAR([1]!Tableau13[[#This Row],[Date début]])</f>
        <v>#REF!</v>
      </c>
      <c r="S861" s="44"/>
      <c r="T861" s="44"/>
    </row>
    <row r="862" spans="1:20" s="75" customFormat="1" ht="23.25">
      <c r="A862" s="35">
        <v>44572</v>
      </c>
      <c r="B862" s="36">
        <v>436</v>
      </c>
      <c r="C862" s="37" t="str">
        <f>IF(ISNA(VLOOKUP(Tableau13[[#This Row],[Code]],'Code Véhicule'!$A$4:$C$185,2,0)),"",VLOOKUP(Tableau13[[#This Row],[Code]],'Code Véhicule'!$A$4:$C$185,2,0))</f>
        <v>Camion</v>
      </c>
      <c r="D862" s="38" t="str">
        <f>IF(ISNA(VLOOKUP(Tableau13[[#This Row],[Code]],'Code Véhicule'!$A$4:$C$185,3,0)),"",VLOOKUP(Tableau13[[#This Row],[Code]],'Code Véhicule'!$A$4:$C$185,3,0))</f>
        <v>Mitsubishi</v>
      </c>
      <c r="E862" s="36" t="str">
        <f>IF(ISNA(VLOOKUP(Tableau13[[#This Row],[Code]],'Code Véhicule'!$A$4:$D$185,4,0))," ",VLOOKUP(Tableau13[[#This Row],[Code]],'Code Véhicule'!$A$4:$D$185,4,0))</f>
        <v>11470-A-73</v>
      </c>
      <c r="F862" s="36">
        <v>26125</v>
      </c>
      <c r="G862" s="38" t="s">
        <v>560</v>
      </c>
      <c r="H862" s="38" t="s">
        <v>604</v>
      </c>
      <c r="I862" s="36" t="s">
        <v>304</v>
      </c>
      <c r="J862" s="39" t="s">
        <v>1642</v>
      </c>
      <c r="K862" s="36">
        <v>175412</v>
      </c>
      <c r="L862" s="40">
        <v>120</v>
      </c>
      <c r="M862" s="40">
        <v>120</v>
      </c>
      <c r="N862" s="41">
        <v>44572</v>
      </c>
      <c r="O862" s="45"/>
      <c r="P862" s="45"/>
      <c r="Q862" s="176" t="e">
        <f>MONTH([1]!Tableau13[[#This Row],[Date début]])</f>
        <v>#REF!</v>
      </c>
      <c r="R862" s="180" t="e">
        <f>YEAR([1]!Tableau13[[#This Row],[Date début]])</f>
        <v>#REF!</v>
      </c>
      <c r="S862" s="44"/>
      <c r="T862" s="44"/>
    </row>
    <row r="863" spans="1:20" s="75" customFormat="1" ht="23.25">
      <c r="A863" s="35">
        <v>44574</v>
      </c>
      <c r="B863" s="36">
        <v>406</v>
      </c>
      <c r="C863" s="37" t="str">
        <f>IF(ISNA(VLOOKUP(Tableau13[[#This Row],[Code]],'Code Véhicule'!$A$4:$C$185,2,0)),"",VLOOKUP(Tableau13[[#This Row],[Code]],'Code Véhicule'!$A$4:$C$185,2,0))</f>
        <v>Semi remorque</v>
      </c>
      <c r="D863" s="38" t="str">
        <f>IF(ISNA(VLOOKUP(Tableau13[[#This Row],[Code]],'Code Véhicule'!$A$4:$C$185,3,0)),"",VLOOKUP(Tableau13[[#This Row],[Code]],'Code Véhicule'!$A$4:$C$185,3,0))</f>
        <v>VOLVO</v>
      </c>
      <c r="E863" s="36" t="str">
        <f>IF(ISNA(VLOOKUP(Tableau13[[#This Row],[Code]],'Code Véhicule'!$A$4:$D$185,4,0))," ",VLOOKUP(Tableau13[[#This Row],[Code]],'Code Véhicule'!$A$4:$D$185,4,0))</f>
        <v>70352-A-6</v>
      </c>
      <c r="F863" s="36">
        <v>26127</v>
      </c>
      <c r="G863" s="38" t="s">
        <v>523</v>
      </c>
      <c r="H863" s="38" t="s">
        <v>601</v>
      </c>
      <c r="I863" s="36" t="s">
        <v>304</v>
      </c>
      <c r="J863" s="39" t="s">
        <v>1644</v>
      </c>
      <c r="K863" s="36">
        <v>175423</v>
      </c>
      <c r="L863" s="40">
        <v>570</v>
      </c>
      <c r="M863" s="40">
        <v>570</v>
      </c>
      <c r="N863" s="41">
        <v>44574</v>
      </c>
      <c r="O863" s="45"/>
      <c r="P863" s="45"/>
      <c r="Q863" s="176" t="e">
        <f>MONTH([1]!Tableau13[[#This Row],[Date début]])</f>
        <v>#REF!</v>
      </c>
      <c r="R863" s="180" t="e">
        <f>YEAR([1]!Tableau13[[#This Row],[Date début]])</f>
        <v>#REF!</v>
      </c>
      <c r="S863" s="44"/>
      <c r="T863" s="44"/>
    </row>
    <row r="864" spans="1:20" s="75" customFormat="1" ht="60">
      <c r="A864" s="35">
        <v>44575</v>
      </c>
      <c r="B864" s="36">
        <v>427</v>
      </c>
      <c r="C864" s="37" t="str">
        <f>IF(ISNA(VLOOKUP(Tableau13[[#This Row],[Code]],'Code Véhicule'!$A$4:$C$185,2,0)),"",VLOOKUP(Tableau13[[#This Row],[Code]],'Code Véhicule'!$A$4:$C$185,2,0))</f>
        <v>Chariot elevateur</v>
      </c>
      <c r="D864" s="38" t="str">
        <f>IF(ISNA(VLOOKUP(Tableau13[[#This Row],[Code]],'Code Véhicule'!$A$4:$C$185,3,0)),"",VLOOKUP(Tableau13[[#This Row],[Code]],'Code Véhicule'!$A$4:$C$185,3,0))</f>
        <v>Linde H30</v>
      </c>
      <c r="E864" s="36" t="str">
        <f>IF(ISNA(VLOOKUP(Tableau13[[#This Row],[Code]],'Code Véhicule'!$A$4:$D$185,4,0))," ",VLOOKUP(Tableau13[[#This Row],[Code]],'Code Véhicule'!$A$4:$D$185,4,0))</f>
        <v>-</v>
      </c>
      <c r="F864" s="36">
        <v>26128</v>
      </c>
      <c r="G864" s="38" t="s">
        <v>393</v>
      </c>
      <c r="H864" s="38" t="s">
        <v>608</v>
      </c>
      <c r="I864" s="36" t="s">
        <v>302</v>
      </c>
      <c r="J864" s="39" t="s">
        <v>1721</v>
      </c>
      <c r="K864" s="36">
        <v>175426</v>
      </c>
      <c r="L864" s="40">
        <v>120</v>
      </c>
      <c r="M864" s="40">
        <v>120</v>
      </c>
      <c r="N864" s="41">
        <v>44575</v>
      </c>
      <c r="O864" s="45"/>
      <c r="P864" s="45"/>
      <c r="Q864" s="176" t="e">
        <f>MONTH([1]!Tableau13[[#This Row],[Date début]])</f>
        <v>#REF!</v>
      </c>
      <c r="R864" s="180" t="e">
        <f>YEAR([1]!Tableau13[[#This Row],[Date début]])</f>
        <v>#REF!</v>
      </c>
      <c r="S864" s="44"/>
      <c r="T864" s="44"/>
    </row>
    <row r="865" spans="1:20" s="75" customFormat="1" ht="30">
      <c r="A865" s="91">
        <v>44578</v>
      </c>
      <c r="B865" s="92">
        <v>420</v>
      </c>
      <c r="C865" s="93" t="str">
        <f>IF(ISNA(VLOOKUP(Tableau13[[#This Row],[Code]],'Code Véhicule'!$A$4:$C$185,2,0)),"",VLOOKUP(Tableau13[[#This Row],[Code]],'Code Véhicule'!$A$4:$C$185,2,0))</f>
        <v>Chariot elevateur</v>
      </c>
      <c r="D865" s="94" t="str">
        <f>IF(ISNA(VLOOKUP(Tableau13[[#This Row],[Code]],'Code Véhicule'!$A$4:$C$185,3,0)),"",VLOOKUP(Tableau13[[#This Row],[Code]],'Code Véhicule'!$A$4:$C$185,3,0))</f>
        <v>linde h 45</v>
      </c>
      <c r="E865" s="92">
        <f>IF(ISNA(VLOOKUP(Tableau13[[#This Row],[Code]],'Code Véhicule'!$A$4:$D$185,4,0))," ",VLOOKUP(Tableau13[[#This Row],[Code]],'Code Véhicule'!$A$4:$D$185,4,0))</f>
        <v>0</v>
      </c>
      <c r="F865" s="92">
        <v>26905</v>
      </c>
      <c r="G865" s="94" t="s">
        <v>1337</v>
      </c>
      <c r="H865" s="94" t="s">
        <v>1748</v>
      </c>
      <c r="I865" s="92" t="s">
        <v>304</v>
      </c>
      <c r="J865" s="95" t="s">
        <v>1749</v>
      </c>
      <c r="K865" s="92">
        <v>178328</v>
      </c>
      <c r="L865" s="96">
        <v>4222</v>
      </c>
      <c r="M865" s="96">
        <v>4222</v>
      </c>
      <c r="N865" s="97">
        <v>44621</v>
      </c>
      <c r="O865" s="98"/>
      <c r="P865" s="98"/>
      <c r="Q865" s="177" t="e">
        <f>MONTH([1]!Tableau13[[#This Row],[Date début]])</f>
        <v>#REF!</v>
      </c>
      <c r="R865" s="181" t="e">
        <f>YEAR([1]!Tableau13[[#This Row],[Date début]])</f>
        <v>#REF!</v>
      </c>
      <c r="S865" s="44"/>
      <c r="T865" s="44"/>
    </row>
    <row r="866" spans="1:20" s="75" customFormat="1" ht="23.25">
      <c r="A866" s="35">
        <v>44579</v>
      </c>
      <c r="B866" s="36">
        <v>409</v>
      </c>
      <c r="C866" s="37" t="str">
        <f>IF(ISNA(VLOOKUP(Tableau13[[#This Row],[Code]],'Code Véhicule'!$A$4:$C$185,2,0)),"",VLOOKUP(Tableau13[[#This Row],[Code]],'Code Véhicule'!$A$4:$C$185,2,0))</f>
        <v>Camion</v>
      </c>
      <c r="D866" s="38" t="str">
        <f>IF(ISNA(VLOOKUP(Tableau13[[#This Row],[Code]],'Code Véhicule'!$A$4:$C$185,3,0)),"",VLOOKUP(Tableau13[[#This Row],[Code]],'Code Véhicule'!$A$4:$C$185,3,0))</f>
        <v>Mitsubishi</v>
      </c>
      <c r="E866" s="36" t="str">
        <f>IF(ISNA(VLOOKUP(Tableau13[[#This Row],[Code]],'Code Véhicule'!$A$4:$D$185,4,0))," ",VLOOKUP(Tableau13[[#This Row],[Code]],'Code Véhicule'!$A$4:$D$185,4,0))</f>
        <v xml:space="preserve">4969-A-73 </v>
      </c>
      <c r="F866" s="36">
        <v>26129</v>
      </c>
      <c r="G866" s="38" t="s">
        <v>560</v>
      </c>
      <c r="H866" s="38" t="s">
        <v>604</v>
      </c>
      <c r="I866" s="36" t="s">
        <v>304</v>
      </c>
      <c r="J866" s="39" t="s">
        <v>530</v>
      </c>
      <c r="K866" s="36">
        <v>175438</v>
      </c>
      <c r="L866" s="40">
        <v>120</v>
      </c>
      <c r="M866" s="40">
        <v>120</v>
      </c>
      <c r="N866" s="41">
        <v>44579</v>
      </c>
      <c r="O866" s="45"/>
      <c r="P866" s="45"/>
      <c r="Q866" s="176" t="e">
        <f>MONTH([1]!Tableau13[[#This Row],[Date début]])</f>
        <v>#REF!</v>
      </c>
      <c r="R866" s="180" t="e">
        <f>YEAR([1]!Tableau13[[#This Row],[Date début]])</f>
        <v>#REF!</v>
      </c>
      <c r="S866" s="44"/>
      <c r="T866" s="44"/>
    </row>
    <row r="867" spans="1:20" s="75" customFormat="1" ht="30">
      <c r="A867" s="35">
        <v>44581</v>
      </c>
      <c r="B867" s="36">
        <v>411</v>
      </c>
      <c r="C867" s="37" t="str">
        <f>IF(ISNA(VLOOKUP(Tableau13[[#This Row],[Code]],'Code Véhicule'!$A$4:$C$185,2,0)),"",VLOOKUP(Tableau13[[#This Row],[Code]],'Code Véhicule'!$A$4:$C$185,2,0))</f>
        <v>Camion</v>
      </c>
      <c r="D867" s="38" t="str">
        <f>IF(ISNA(VLOOKUP(Tableau13[[#This Row],[Code]],'Code Véhicule'!$A$4:$C$185,3,0)),"",VLOOKUP(Tableau13[[#This Row],[Code]],'Code Véhicule'!$A$4:$C$185,3,0))</f>
        <v>Renault</v>
      </c>
      <c r="E867" s="36" t="str">
        <f>IF(ISNA(VLOOKUP(Tableau13[[#This Row],[Code]],'Code Véhicule'!$A$4:$D$185,4,0))," ",VLOOKUP(Tableau13[[#This Row],[Code]],'Code Véhicule'!$A$4:$D$185,4,0))</f>
        <v>25636-A-13</v>
      </c>
      <c r="F867" s="36">
        <v>26130</v>
      </c>
      <c r="G867" s="38" t="s">
        <v>1645</v>
      </c>
      <c r="H867" s="38" t="s">
        <v>601</v>
      </c>
      <c r="I867" s="36" t="s">
        <v>304</v>
      </c>
      <c r="J867" s="39" t="s">
        <v>1646</v>
      </c>
      <c r="K867" s="36">
        <v>175444</v>
      </c>
      <c r="L867" s="40">
        <v>1140</v>
      </c>
      <c r="M867" s="40">
        <v>1140</v>
      </c>
      <c r="N867" s="41">
        <v>44589</v>
      </c>
      <c r="O867" s="45"/>
      <c r="P867" s="45"/>
      <c r="Q867" s="176" t="e">
        <f>MONTH([1]!Tableau13[[#This Row],[Date début]])</f>
        <v>#REF!</v>
      </c>
      <c r="R867" s="180" t="e">
        <f>YEAR([1]!Tableau13[[#This Row],[Date début]])</f>
        <v>#REF!</v>
      </c>
      <c r="S867" s="44"/>
      <c r="T867" s="44"/>
    </row>
    <row r="868" spans="1:20" s="75" customFormat="1" ht="23.25">
      <c r="A868" s="35">
        <v>44581</v>
      </c>
      <c r="B868" s="36">
        <v>427</v>
      </c>
      <c r="C868" s="37" t="str">
        <f>IF(ISNA(VLOOKUP(Tableau13[[#This Row],[Code]],'Code Véhicule'!$A$4:$C$185,2,0)),"",VLOOKUP(Tableau13[[#This Row],[Code]],'Code Véhicule'!$A$4:$C$185,2,0))</f>
        <v>Chariot elevateur</v>
      </c>
      <c r="D868" s="38" t="str">
        <f>IF(ISNA(VLOOKUP(Tableau13[[#This Row],[Code]],'Code Véhicule'!$A$4:$C$185,3,0)),"",VLOOKUP(Tableau13[[#This Row],[Code]],'Code Véhicule'!$A$4:$C$185,3,0))</f>
        <v>Linde H30</v>
      </c>
      <c r="E868" s="36" t="str">
        <f>IF(ISNA(VLOOKUP(Tableau13[[#This Row],[Code]],'Code Véhicule'!$A$4:$D$185,4,0))," ",VLOOKUP(Tableau13[[#This Row],[Code]],'Code Véhicule'!$A$4:$D$185,4,0))</f>
        <v>-</v>
      </c>
      <c r="F868" s="36">
        <v>26131</v>
      </c>
      <c r="G868" s="38" t="s">
        <v>560</v>
      </c>
      <c r="H868" s="38" t="s">
        <v>604</v>
      </c>
      <c r="I868" s="36" t="s">
        <v>304</v>
      </c>
      <c r="J868" s="39" t="s">
        <v>372</v>
      </c>
      <c r="K868" s="36">
        <v>175445</v>
      </c>
      <c r="L868" s="40">
        <v>120</v>
      </c>
      <c r="M868" s="40">
        <v>120</v>
      </c>
      <c r="N868" s="41">
        <v>44581</v>
      </c>
      <c r="O868" s="45"/>
      <c r="P868" s="45"/>
      <c r="Q868" s="176" t="e">
        <f>MONTH([1]!Tableau13[[#This Row],[Date début]])</f>
        <v>#REF!</v>
      </c>
      <c r="R868" s="180" t="e">
        <f>YEAR([1]!Tableau13[[#This Row],[Date début]])</f>
        <v>#REF!</v>
      </c>
      <c r="S868" s="44"/>
      <c r="T868" s="44"/>
    </row>
    <row r="869" spans="1:20" s="75" customFormat="1" ht="60">
      <c r="A869" s="35">
        <v>44582</v>
      </c>
      <c r="B869" s="36">
        <v>406</v>
      </c>
      <c r="C869" s="37" t="str">
        <f>IF(ISNA(VLOOKUP(Tableau13[[#This Row],[Code]],'Code Véhicule'!$A$4:$C$185,2,0)),"",VLOOKUP(Tableau13[[#This Row],[Code]],'Code Véhicule'!$A$4:$C$185,2,0))</f>
        <v>Semi remorque</v>
      </c>
      <c r="D869" s="38" t="str">
        <f>IF(ISNA(VLOOKUP(Tableau13[[#This Row],[Code]],'Code Véhicule'!$A$4:$C$185,3,0)),"",VLOOKUP(Tableau13[[#This Row],[Code]],'Code Véhicule'!$A$4:$C$185,3,0))</f>
        <v>VOLVO</v>
      </c>
      <c r="E869" s="36" t="str">
        <f>IF(ISNA(VLOOKUP(Tableau13[[#This Row],[Code]],'Code Véhicule'!$A$4:$D$185,4,0))," ",VLOOKUP(Tableau13[[#This Row],[Code]],'Code Véhicule'!$A$4:$D$185,4,0))</f>
        <v>70352-A-6</v>
      </c>
      <c r="F869" s="36">
        <v>26132</v>
      </c>
      <c r="G869" s="38" t="s">
        <v>537</v>
      </c>
      <c r="H869" s="38" t="s">
        <v>1288</v>
      </c>
      <c r="I869" s="36" t="s">
        <v>304</v>
      </c>
      <c r="J869" s="39" t="s">
        <v>1647</v>
      </c>
      <c r="K869" s="36">
        <v>176205</v>
      </c>
      <c r="L869" s="40">
        <v>11400</v>
      </c>
      <c r="M869" s="40">
        <v>11400</v>
      </c>
      <c r="N869" s="41">
        <v>44606</v>
      </c>
      <c r="O869" s="45"/>
      <c r="P869" s="45"/>
      <c r="Q869" s="176" t="e">
        <f>MONTH([1]!Tableau13[[#This Row],[Date début]])</f>
        <v>#REF!</v>
      </c>
      <c r="R869" s="180" t="e">
        <f>YEAR([1]!Tableau13[[#This Row],[Date début]])</f>
        <v>#REF!</v>
      </c>
      <c r="S869" s="44"/>
      <c r="T869" s="44"/>
    </row>
    <row r="870" spans="1:20" s="75" customFormat="1" ht="90">
      <c r="A870" s="35">
        <v>44582</v>
      </c>
      <c r="B870" s="36">
        <v>435</v>
      </c>
      <c r="C870" s="37" t="str">
        <f>IF(ISNA(VLOOKUP(Tableau13[[#This Row],[Code]],'Code Véhicule'!$A$4:$C$185,2,0)),"",VLOOKUP(Tableau13[[#This Row],[Code]],'Code Véhicule'!$A$4:$C$185,2,0))</f>
        <v>Camion</v>
      </c>
      <c r="D870" s="38" t="str">
        <f>IF(ISNA(VLOOKUP(Tableau13[[#This Row],[Code]],'Code Véhicule'!$A$4:$C$185,3,0)),"",VLOOKUP(Tableau13[[#This Row],[Code]],'Code Véhicule'!$A$4:$C$185,3,0))</f>
        <v>Mitsubishi</v>
      </c>
      <c r="E870" s="36" t="str">
        <f>IF(ISNA(VLOOKUP(Tableau13[[#This Row],[Code]],'Code Véhicule'!$A$4:$D$185,4,0))," ",VLOOKUP(Tableau13[[#This Row],[Code]],'Code Véhicule'!$A$4:$D$185,4,0))</f>
        <v xml:space="preserve"> 11469-A-73</v>
      </c>
      <c r="F870" s="36">
        <v>26133</v>
      </c>
      <c r="G870" s="38" t="s">
        <v>610</v>
      </c>
      <c r="H870" s="38" t="s">
        <v>955</v>
      </c>
      <c r="I870" s="36" t="s">
        <v>304</v>
      </c>
      <c r="J870" s="39" t="s">
        <v>1648</v>
      </c>
      <c r="K870" s="36" t="s">
        <v>1649</v>
      </c>
      <c r="L870" s="40">
        <v>2280</v>
      </c>
      <c r="M870" s="40">
        <v>5130</v>
      </c>
      <c r="N870" s="41">
        <v>44581</v>
      </c>
      <c r="O870" s="45"/>
      <c r="P870" s="45"/>
      <c r="Q870" s="176" t="e">
        <f>MONTH([1]!Tableau13[[#This Row],[Date début]])</f>
        <v>#REF!</v>
      </c>
      <c r="R870" s="180" t="e">
        <f>YEAR([1]!Tableau13[[#This Row],[Date début]])</f>
        <v>#REF!</v>
      </c>
      <c r="S870" s="44"/>
      <c r="T870" s="44"/>
    </row>
    <row r="871" spans="1:20" s="75" customFormat="1" ht="75">
      <c r="A871" s="35">
        <v>44582</v>
      </c>
      <c r="B871" s="36" t="s">
        <v>1199</v>
      </c>
      <c r="C871" s="37" t="str">
        <f>IF(ISNA(VLOOKUP(Tableau13[[#This Row],[Code]],'Code Véhicule'!$A$4:$C$185,2,0)),"",VLOOKUP(Tableau13[[#This Row],[Code]],'Code Véhicule'!$A$4:$C$185,2,0))</f>
        <v>Chargeur</v>
      </c>
      <c r="D871" s="38" t="str">
        <f>IF(ISNA(VLOOKUP(Tableau13[[#This Row],[Code]],'Code Véhicule'!$A$4:$C$185,3,0)),"",VLOOKUP(Tableau13[[#This Row],[Code]],'Code Véhicule'!$A$4:$C$185,3,0))</f>
        <v>Caterpillar</v>
      </c>
      <c r="E871" s="36" t="str">
        <f>IF(ISNA(VLOOKUP(Tableau13[[#This Row],[Code]],'Code Véhicule'!$A$4:$D$185,4,0))," ",VLOOKUP(Tableau13[[#This Row],[Code]],'Code Véhicule'!$A$4:$D$185,4,0))</f>
        <v>-</v>
      </c>
      <c r="F871" s="36">
        <v>26135</v>
      </c>
      <c r="G871" s="38" t="s">
        <v>1650</v>
      </c>
      <c r="H871" s="38" t="s">
        <v>1651</v>
      </c>
      <c r="I871" s="36" t="s">
        <v>304</v>
      </c>
      <c r="J871" s="39" t="s">
        <v>1652</v>
      </c>
      <c r="K871" s="36">
        <v>175</v>
      </c>
      <c r="L871" s="40">
        <v>5700</v>
      </c>
      <c r="M871" s="40">
        <v>5700</v>
      </c>
      <c r="N871" s="41">
        <v>44640</v>
      </c>
      <c r="O871" s="45"/>
      <c r="P871" s="45"/>
      <c r="Q871" s="176" t="e">
        <f>MONTH([1]!Tableau13[[#This Row],[Date début]])</f>
        <v>#REF!</v>
      </c>
      <c r="R871" s="180" t="e">
        <f>YEAR([1]!Tableau13[[#This Row],[Date début]])</f>
        <v>#REF!</v>
      </c>
      <c r="S871" s="44"/>
      <c r="T871" s="44"/>
    </row>
    <row r="872" spans="1:20" s="75" customFormat="1" ht="23.25">
      <c r="A872" s="35">
        <v>44585</v>
      </c>
      <c r="B872" s="36">
        <v>434</v>
      </c>
      <c r="C872" s="37" t="str">
        <f>IF(ISNA(VLOOKUP(Tableau13[[#This Row],[Code]],'Code Véhicule'!$A$4:$C$185,2,0)),"",VLOOKUP(Tableau13[[#This Row],[Code]],'Code Véhicule'!$A$4:$C$185,2,0))</f>
        <v>Chariot elevateur</v>
      </c>
      <c r="D872" s="38" t="str">
        <f>IF(ISNA(VLOOKUP(Tableau13[[#This Row],[Code]],'Code Véhicule'!$A$4:$C$185,3,0)),"",VLOOKUP(Tableau13[[#This Row],[Code]],'Code Véhicule'!$A$4:$C$185,3,0))</f>
        <v>Linde H30D</v>
      </c>
      <c r="E872" s="36" t="str">
        <f>IF(ISNA(VLOOKUP(Tableau13[[#This Row],[Code]],'Code Véhicule'!$A$4:$D$185,4,0))," ",VLOOKUP(Tableau13[[#This Row],[Code]],'Code Véhicule'!$A$4:$D$185,4,0))</f>
        <v>-</v>
      </c>
      <c r="F872" s="36">
        <v>26138</v>
      </c>
      <c r="G872" s="38" t="s">
        <v>393</v>
      </c>
      <c r="H872" s="38" t="s">
        <v>613</v>
      </c>
      <c r="I872" s="36" t="s">
        <v>302</v>
      </c>
      <c r="J872" s="39" t="s">
        <v>1657</v>
      </c>
      <c r="K872" s="36">
        <v>176211</v>
      </c>
      <c r="L872" s="40">
        <v>30</v>
      </c>
      <c r="M872" s="40">
        <v>30</v>
      </c>
      <c r="N872" s="41">
        <v>44585</v>
      </c>
      <c r="O872" s="45"/>
      <c r="P872" s="45"/>
      <c r="Q872" s="176" t="e">
        <f>MONTH([1]!Tableau13[[#This Row],[Date début]])</f>
        <v>#REF!</v>
      </c>
      <c r="R872" s="180" t="e">
        <f>YEAR([1]!Tableau13[[#This Row],[Date début]])</f>
        <v>#REF!</v>
      </c>
      <c r="S872" s="44"/>
      <c r="T872" s="44"/>
    </row>
    <row r="873" spans="1:20" s="75" customFormat="1" ht="23.25">
      <c r="A873" s="35">
        <v>44585</v>
      </c>
      <c r="B873" s="36">
        <v>401</v>
      </c>
      <c r="C873" s="37" t="str">
        <f>IF(ISNA(VLOOKUP(Tableau13[[#This Row],[Code]],'Code Véhicule'!$A$4:$C$185,2,0)),"",VLOOKUP(Tableau13[[#This Row],[Code]],'Code Véhicule'!$A$4:$C$185,2,0))</f>
        <v>Camion</v>
      </c>
      <c r="D873" s="38" t="str">
        <f>IF(ISNA(VLOOKUP(Tableau13[[#This Row],[Code]],'Code Véhicule'!$A$4:$C$185,3,0)),"",VLOOKUP(Tableau13[[#This Row],[Code]],'Code Véhicule'!$A$4:$C$185,3,0))</f>
        <v>ISUZU</v>
      </c>
      <c r="E873" s="36" t="str">
        <f>IF(ISNA(VLOOKUP(Tableau13[[#This Row],[Code]],'Code Véhicule'!$A$4:$D$185,4,0))," ",VLOOKUP(Tableau13[[#This Row],[Code]],'Code Véhicule'!$A$4:$D$185,4,0))</f>
        <v>26128-A-8</v>
      </c>
      <c r="F873" s="36">
        <v>26139</v>
      </c>
      <c r="G873" s="38" t="s">
        <v>560</v>
      </c>
      <c r="H873" s="38" t="s">
        <v>604</v>
      </c>
      <c r="I873" s="36" t="s">
        <v>304</v>
      </c>
      <c r="J873" s="39" t="s">
        <v>530</v>
      </c>
      <c r="K873" s="36">
        <v>176214</v>
      </c>
      <c r="L873" s="40">
        <v>60</v>
      </c>
      <c r="M873" s="40">
        <v>60</v>
      </c>
      <c r="N873" s="41">
        <v>44585</v>
      </c>
      <c r="O873" s="45"/>
      <c r="P873" s="45"/>
      <c r="Q873" s="176" t="e">
        <f>MONTH([1]!Tableau13[[#This Row],[Date début]])</f>
        <v>#REF!</v>
      </c>
      <c r="R873" s="180" t="e">
        <f>YEAR([1]!Tableau13[[#This Row],[Date début]])</f>
        <v>#REF!</v>
      </c>
      <c r="S873" s="44"/>
      <c r="T873" s="44"/>
    </row>
    <row r="874" spans="1:20" s="75" customFormat="1" ht="23.25">
      <c r="A874" s="35">
        <v>44586</v>
      </c>
      <c r="B874" s="36">
        <v>436</v>
      </c>
      <c r="C874" s="37" t="str">
        <f>IF(ISNA(VLOOKUP(Tableau13[[#This Row],[Code]],'Code Véhicule'!$A$4:$C$185,2,0)),"",VLOOKUP(Tableau13[[#This Row],[Code]],'Code Véhicule'!$A$4:$C$185,2,0))</f>
        <v>Camion</v>
      </c>
      <c r="D874" s="38" t="str">
        <f>IF(ISNA(VLOOKUP(Tableau13[[#This Row],[Code]],'Code Véhicule'!$A$4:$C$185,3,0)),"",VLOOKUP(Tableau13[[#This Row],[Code]],'Code Véhicule'!$A$4:$C$185,3,0))</f>
        <v>Mitsubishi</v>
      </c>
      <c r="E874" s="36" t="str">
        <f>IF(ISNA(VLOOKUP(Tableau13[[#This Row],[Code]],'Code Véhicule'!$A$4:$D$185,4,0))," ",VLOOKUP(Tableau13[[#This Row],[Code]],'Code Véhicule'!$A$4:$D$185,4,0))</f>
        <v>11470-A-73</v>
      </c>
      <c r="F874" s="36">
        <v>26140</v>
      </c>
      <c r="G874" s="38" t="s">
        <v>560</v>
      </c>
      <c r="H874" s="38" t="s">
        <v>604</v>
      </c>
      <c r="I874" s="36" t="s">
        <v>304</v>
      </c>
      <c r="J874" s="39" t="s">
        <v>1658</v>
      </c>
      <c r="K874" s="36">
        <v>176215</v>
      </c>
      <c r="L874" s="40">
        <v>120</v>
      </c>
      <c r="M874" s="40">
        <v>120</v>
      </c>
      <c r="N874" s="41">
        <v>44586</v>
      </c>
      <c r="O874" s="45"/>
      <c r="P874" s="45"/>
      <c r="Q874" s="176" t="e">
        <f>MONTH([1]!Tableau13[[#This Row],[Date début]])</f>
        <v>#REF!</v>
      </c>
      <c r="R874" s="180" t="e">
        <f>YEAR([1]!Tableau13[[#This Row],[Date début]])</f>
        <v>#REF!</v>
      </c>
      <c r="S874" s="44"/>
      <c r="T874" s="44"/>
    </row>
    <row r="875" spans="1:20" s="75" customFormat="1" ht="30">
      <c r="A875" s="35">
        <v>44586</v>
      </c>
      <c r="B875" s="36">
        <v>471</v>
      </c>
      <c r="C875" s="37" t="str">
        <f>IF(ISNA(VLOOKUP(Tableau13[[#This Row],[Code]],'Code Véhicule'!$A$4:$C$185,2,0)),"",VLOOKUP(Tableau13[[#This Row],[Code]],'Code Véhicule'!$A$4:$C$185,2,0))</f>
        <v>Bus de transport</v>
      </c>
      <c r="D875" s="38" t="str">
        <f>IF(ISNA(VLOOKUP(Tableau13[[#This Row],[Code]],'Code Véhicule'!$A$4:$C$185,3,0)),"",VLOOKUP(Tableau13[[#This Row],[Code]],'Code Véhicule'!$A$4:$C$185,3,0))</f>
        <v xml:space="preserve">Hyundai County </v>
      </c>
      <c r="E875" s="36" t="str">
        <f>IF(ISNA(VLOOKUP(Tableau13[[#This Row],[Code]],'Code Véhicule'!$A$4:$D$185,4,0))," ",VLOOKUP(Tableau13[[#This Row],[Code]],'Code Véhicule'!$A$4:$D$185,4,0))</f>
        <v>18516-A-73</v>
      </c>
      <c r="F875" s="36">
        <v>26141</v>
      </c>
      <c r="G875" s="38" t="s">
        <v>327</v>
      </c>
      <c r="H875" s="38" t="s">
        <v>1034</v>
      </c>
      <c r="I875" s="36" t="s">
        <v>304</v>
      </c>
      <c r="J875" s="39" t="s">
        <v>1659</v>
      </c>
      <c r="K875" s="36">
        <v>176218</v>
      </c>
      <c r="L875" s="40">
        <v>120</v>
      </c>
      <c r="M875" s="40">
        <v>120</v>
      </c>
      <c r="N875" s="41">
        <v>44586</v>
      </c>
      <c r="O875" s="45"/>
      <c r="P875" s="45"/>
      <c r="Q875" s="176" t="e">
        <f>MONTH([1]!Tableau13[[#This Row],[Date début]])</f>
        <v>#REF!</v>
      </c>
      <c r="R875" s="180" t="e">
        <f>YEAR([1]!Tableau13[[#This Row],[Date début]])</f>
        <v>#REF!</v>
      </c>
      <c r="S875" s="44"/>
      <c r="T875" s="44"/>
    </row>
    <row r="876" spans="1:20" s="75" customFormat="1" ht="30">
      <c r="A876" s="35">
        <v>44587</v>
      </c>
      <c r="B876" s="36">
        <v>426</v>
      </c>
      <c r="C876" s="37" t="str">
        <f>IF(ISNA(VLOOKUP(Tableau13[[#This Row],[Code]],'Code Véhicule'!$A$4:$C$185,2,0)),"",VLOOKUP(Tableau13[[#This Row],[Code]],'Code Véhicule'!$A$4:$C$185,2,0))</f>
        <v>Chariot elevateur</v>
      </c>
      <c r="D876" s="38" t="str">
        <f>IF(ISNA(VLOOKUP(Tableau13[[#This Row],[Code]],'Code Véhicule'!$A$4:$C$185,3,0)),"",VLOOKUP(Tableau13[[#This Row],[Code]],'Code Véhicule'!$A$4:$C$185,3,0))</f>
        <v>Manitou MC 30</v>
      </c>
      <c r="E876" s="36" t="str">
        <f>IF(ISNA(VLOOKUP(Tableau13[[#This Row],[Code]],'Code Véhicule'!$A$4:$D$185,4,0))," ",VLOOKUP(Tableau13[[#This Row],[Code]],'Code Véhicule'!$A$4:$D$185,4,0))</f>
        <v>-</v>
      </c>
      <c r="F876" s="36">
        <v>26137</v>
      </c>
      <c r="G876" s="38" t="s">
        <v>932</v>
      </c>
      <c r="H876" s="38" t="s">
        <v>1593</v>
      </c>
      <c r="I876" s="36" t="s">
        <v>304</v>
      </c>
      <c r="J876" s="39" t="s">
        <v>1656</v>
      </c>
      <c r="K876" s="36"/>
      <c r="L876" s="40">
        <v>14820</v>
      </c>
      <c r="M876" s="40">
        <v>14820</v>
      </c>
      <c r="N876" s="41">
        <v>44727</v>
      </c>
      <c r="O876" s="45"/>
      <c r="P876" s="45"/>
      <c r="Q876" s="176" t="e">
        <f>MONTH([1]!Tableau13[[#This Row],[Date début]])</f>
        <v>#REF!</v>
      </c>
      <c r="R876" s="180" t="e">
        <f>YEAR([1]!Tableau13[[#This Row],[Date début]])</f>
        <v>#REF!</v>
      </c>
      <c r="S876" s="44"/>
      <c r="T876" s="44"/>
    </row>
    <row r="877" spans="1:20" s="75" customFormat="1" ht="105">
      <c r="A877" s="35">
        <v>44587</v>
      </c>
      <c r="B877" s="36">
        <v>401</v>
      </c>
      <c r="C877" s="37" t="str">
        <f>IF(ISNA(VLOOKUP(Tableau13[[#This Row],[Code]],'Code Véhicule'!$A$4:$C$185,2,0)),"",VLOOKUP(Tableau13[[#This Row],[Code]],'Code Véhicule'!$A$4:$C$185,2,0))</f>
        <v>Camion</v>
      </c>
      <c r="D877" s="38" t="str">
        <f>IF(ISNA(VLOOKUP(Tableau13[[#This Row],[Code]],'Code Véhicule'!$A$4:$C$185,3,0)),"",VLOOKUP(Tableau13[[#This Row],[Code]],'Code Véhicule'!$A$4:$C$185,3,0))</f>
        <v>ISUZU</v>
      </c>
      <c r="E877" s="36" t="str">
        <f>IF(ISNA(VLOOKUP(Tableau13[[#This Row],[Code]],'Code Véhicule'!$A$4:$D$185,4,0))," ",VLOOKUP(Tableau13[[#This Row],[Code]],'Code Véhicule'!$A$4:$D$185,4,0))</f>
        <v>26128-A-8</v>
      </c>
      <c r="F877" s="36">
        <v>26146</v>
      </c>
      <c r="G877" s="38" t="s">
        <v>610</v>
      </c>
      <c r="H877" s="38" t="s">
        <v>1296</v>
      </c>
      <c r="I877" s="36" t="s">
        <v>903</v>
      </c>
      <c r="J877" s="39" t="s">
        <v>1667</v>
      </c>
      <c r="K877" s="36" t="s">
        <v>1728</v>
      </c>
      <c r="L877" s="40">
        <v>3400</v>
      </c>
      <c r="M877" s="40">
        <v>5700</v>
      </c>
      <c r="N877" s="41">
        <v>44598</v>
      </c>
      <c r="O877" s="45"/>
      <c r="P877" s="45"/>
      <c r="Q877" s="176" t="e">
        <f>MONTH([1]!Tableau13[[#This Row],[Date début]])</f>
        <v>#REF!</v>
      </c>
      <c r="R877" s="180" t="e">
        <f>YEAR([1]!Tableau13[[#This Row],[Date début]])</f>
        <v>#REF!</v>
      </c>
      <c r="S877" s="44"/>
      <c r="T877" s="44"/>
    </row>
    <row r="878" spans="1:20" s="75" customFormat="1" ht="30">
      <c r="A878" s="35">
        <v>44591</v>
      </c>
      <c r="B878" s="36">
        <v>410</v>
      </c>
      <c r="C878" s="37" t="str">
        <f>IF(ISNA(VLOOKUP(Tableau13[[#This Row],[Code]],'Code Véhicule'!$A$4:$C$185,2,0)),"",VLOOKUP(Tableau13[[#This Row],[Code]],'Code Véhicule'!$A$4:$C$185,2,0))</f>
        <v>Semi remorque</v>
      </c>
      <c r="D878" s="38" t="str">
        <f>IF(ISNA(VLOOKUP(Tableau13[[#This Row],[Code]],'Code Véhicule'!$A$4:$C$185,3,0)),"",VLOOKUP(Tableau13[[#This Row],[Code]],'Code Véhicule'!$A$4:$C$185,3,0))</f>
        <v>MAN</v>
      </c>
      <c r="E878" s="36" t="str">
        <f>IF(ISNA(VLOOKUP(Tableau13[[#This Row],[Code]],'Code Véhicule'!$A$4:$D$185,4,0))," ",VLOOKUP(Tableau13[[#This Row],[Code]],'Code Véhicule'!$A$4:$D$185,4,0))</f>
        <v xml:space="preserve">28659-D-1 </v>
      </c>
      <c r="F878" s="36">
        <v>26142</v>
      </c>
      <c r="G878" s="38" t="s">
        <v>1660</v>
      </c>
      <c r="H878" s="38" t="s">
        <v>1653</v>
      </c>
      <c r="I878" s="36" t="s">
        <v>304</v>
      </c>
      <c r="J878" s="39" t="s">
        <v>1661</v>
      </c>
      <c r="K878" s="36">
        <v>176241</v>
      </c>
      <c r="L878" s="40">
        <v>180</v>
      </c>
      <c r="M878" s="40">
        <v>180</v>
      </c>
      <c r="N878" s="41">
        <v>44591</v>
      </c>
      <c r="O878" s="45"/>
      <c r="P878" s="45"/>
      <c r="Q878" s="176" t="e">
        <f>MONTH([1]!Tableau13[[#This Row],[Date début]])</f>
        <v>#REF!</v>
      </c>
      <c r="R878" s="180" t="e">
        <f>YEAR([1]!Tableau13[[#This Row],[Date début]])</f>
        <v>#REF!</v>
      </c>
      <c r="S878" s="44"/>
      <c r="T878" s="44"/>
    </row>
    <row r="879" spans="1:20" s="75" customFormat="1" ht="23.25">
      <c r="A879" s="35">
        <v>44593</v>
      </c>
      <c r="B879" s="36">
        <v>471</v>
      </c>
      <c r="C879" s="37" t="str">
        <f>IF(ISNA(VLOOKUP(Tableau13[[#This Row],[Code]],'Code Véhicule'!$A$4:$C$185,2,0)),"",VLOOKUP(Tableau13[[#This Row],[Code]],'Code Véhicule'!$A$4:$C$185,2,0))</f>
        <v>Bus de transport</v>
      </c>
      <c r="D879" s="38" t="str">
        <f>IF(ISNA(VLOOKUP(Tableau13[[#This Row],[Code]],'Code Véhicule'!$A$4:$C$185,3,0)),"",VLOOKUP(Tableau13[[#This Row],[Code]],'Code Véhicule'!$A$4:$C$185,3,0))</f>
        <v xml:space="preserve">Hyundai County </v>
      </c>
      <c r="E879" s="36" t="str">
        <f>IF(ISNA(VLOOKUP(Tableau13[[#This Row],[Code]],'Code Véhicule'!$A$4:$D$185,4,0))," ",VLOOKUP(Tableau13[[#This Row],[Code]],'Code Véhicule'!$A$4:$D$185,4,0))</f>
        <v>18516-A-73</v>
      </c>
      <c r="F879" s="36">
        <v>26143</v>
      </c>
      <c r="G879" s="38" t="s">
        <v>560</v>
      </c>
      <c r="H879" s="38" t="s">
        <v>604</v>
      </c>
      <c r="I879" s="36" t="s">
        <v>304</v>
      </c>
      <c r="J879" s="39" t="s">
        <v>549</v>
      </c>
      <c r="K879" s="36">
        <v>176247</v>
      </c>
      <c r="L879" s="40">
        <v>60</v>
      </c>
      <c r="M879" s="40">
        <v>60</v>
      </c>
      <c r="N879" s="41">
        <v>44593</v>
      </c>
      <c r="O879" s="45"/>
      <c r="P879" s="45"/>
      <c r="Q879" s="176" t="e">
        <f>MONTH([1]!Tableau13[[#This Row],[Date début]])</f>
        <v>#REF!</v>
      </c>
      <c r="R879" s="180" t="e">
        <f>YEAR([1]!Tableau13[[#This Row],[Date début]])</f>
        <v>#REF!</v>
      </c>
      <c r="S879" s="44"/>
      <c r="T879" s="44"/>
    </row>
    <row r="880" spans="1:20" s="75" customFormat="1" ht="30">
      <c r="A880" s="35">
        <v>44593</v>
      </c>
      <c r="B880" s="36">
        <v>417</v>
      </c>
      <c r="C880" s="37" t="str">
        <f>IF(ISNA(VLOOKUP(Tableau13[[#This Row],[Code]],'Code Véhicule'!$A$4:$C$185,2,0)),"",VLOOKUP(Tableau13[[#This Row],[Code]],'Code Véhicule'!$A$4:$C$185,2,0))</f>
        <v>Voiture de fonction</v>
      </c>
      <c r="D880" s="38" t="str">
        <f>IF(ISNA(VLOOKUP(Tableau13[[#This Row],[Code]],'Code Véhicule'!$A$4:$C$185,3,0)),"",VLOOKUP(Tableau13[[#This Row],[Code]],'Code Véhicule'!$A$4:$C$185,3,0))</f>
        <v>Berlingo</v>
      </c>
      <c r="E880" s="36" t="str">
        <f>IF(ISNA(VLOOKUP(Tableau13[[#This Row],[Code]],'Code Véhicule'!$A$4:$D$185,4,0))," ",VLOOKUP(Tableau13[[#This Row],[Code]],'Code Véhicule'!$A$4:$D$185,4,0))</f>
        <v>981-A-73</v>
      </c>
      <c r="F880" s="36">
        <v>26144</v>
      </c>
      <c r="G880" s="38" t="s">
        <v>1662</v>
      </c>
      <c r="H880" s="38" t="s">
        <v>1663</v>
      </c>
      <c r="I880" s="36" t="s">
        <v>304</v>
      </c>
      <c r="J880" s="39" t="s">
        <v>1664</v>
      </c>
      <c r="K880" s="36">
        <v>176248</v>
      </c>
      <c r="L880" s="40">
        <v>960</v>
      </c>
      <c r="M880" s="40">
        <v>0</v>
      </c>
      <c r="N880" s="41">
        <v>44593</v>
      </c>
      <c r="O880" s="45"/>
      <c r="P880" s="45"/>
      <c r="Q880" s="176" t="e">
        <f>MONTH([1]!Tableau13[[#This Row],[Date début]])</f>
        <v>#REF!</v>
      </c>
      <c r="R880" s="180" t="e">
        <f>YEAR([1]!Tableau13[[#This Row],[Date début]])</f>
        <v>#REF!</v>
      </c>
      <c r="S880" s="44"/>
      <c r="T880" s="44"/>
    </row>
    <row r="881" spans="1:20" s="75" customFormat="1" ht="23.25">
      <c r="A881" s="91">
        <v>44593</v>
      </c>
      <c r="B881" s="92">
        <v>431</v>
      </c>
      <c r="C881" s="93" t="str">
        <f>IF(ISNA(VLOOKUP(Tableau13[[#This Row],[Code]],'Code Véhicule'!$A$4:$C$185,2,0)),"",VLOOKUP(Tableau13[[#This Row],[Code]],'Code Véhicule'!$A$4:$C$185,2,0))</f>
        <v>Chariot elevateur</v>
      </c>
      <c r="D881" s="94" t="str">
        <f>IF(ISNA(VLOOKUP(Tableau13[[#This Row],[Code]],'Code Véhicule'!$A$4:$C$185,3,0)),"",VLOOKUP(Tableau13[[#This Row],[Code]],'Code Véhicule'!$A$4:$C$185,3,0))</f>
        <v>Manitou M26-2</v>
      </c>
      <c r="E881" s="92" t="str">
        <f>IF(ISNA(VLOOKUP(Tableau13[[#This Row],[Code]],'Code Véhicule'!$A$4:$D$185,4,0))," ",VLOOKUP(Tableau13[[#This Row],[Code]],'Code Véhicule'!$A$4:$D$185,4,0))</f>
        <v>-</v>
      </c>
      <c r="F881" s="92"/>
      <c r="G881" s="94"/>
      <c r="H881" s="94"/>
      <c r="I881" s="92"/>
      <c r="J881" s="39" t="s">
        <v>1907</v>
      </c>
      <c r="K881" s="92"/>
      <c r="L881" s="96"/>
      <c r="M881" s="96">
        <v>14820</v>
      </c>
      <c r="N881" s="97">
        <v>44620</v>
      </c>
      <c r="O881" s="98"/>
      <c r="P881" s="98"/>
      <c r="Q881" s="177" t="e">
        <f>MONTH([1]!Tableau13[[#This Row],[Date début]])</f>
        <v>#REF!</v>
      </c>
      <c r="R881" s="181" t="e">
        <f>YEAR([1]!Tableau13[[#This Row],[Date début]])</f>
        <v>#REF!</v>
      </c>
      <c r="S881" s="44"/>
      <c r="T881" s="44"/>
    </row>
    <row r="882" spans="1:20" s="75" customFormat="1" ht="90">
      <c r="A882" s="35">
        <v>44593</v>
      </c>
      <c r="B882" s="36">
        <v>413</v>
      </c>
      <c r="C882" s="37" t="str">
        <f>IF(ISNA(VLOOKUP(Tableau13[[#This Row],[Code]],'Code Véhicule'!$A$4:$C$185,2,0)),"",VLOOKUP(Tableau13[[#This Row],[Code]],'Code Véhicule'!$A$4:$C$185,2,0))</f>
        <v>Chargeur</v>
      </c>
      <c r="D882" s="38" t="str">
        <f>IF(ISNA(VLOOKUP(Tableau13[[#This Row],[Code]],'Code Véhicule'!$A$4:$C$185,3,0)),"",VLOOKUP(Tableau13[[#This Row],[Code]],'Code Véhicule'!$A$4:$C$185,3,0))</f>
        <v>Caterpillar</v>
      </c>
      <c r="E882" s="36" t="str">
        <f>IF(ISNA(VLOOKUP(Tableau13[[#This Row],[Code]],'Code Véhicule'!$A$4:$D$185,4,0))," ",VLOOKUP(Tableau13[[#This Row],[Code]],'Code Véhicule'!$A$4:$D$185,4,0))</f>
        <v>-</v>
      </c>
      <c r="F882" s="36"/>
      <c r="G882" s="38" t="s">
        <v>2056</v>
      </c>
      <c r="H882" s="38" t="s">
        <v>608</v>
      </c>
      <c r="I882" s="36" t="s">
        <v>302</v>
      </c>
      <c r="J882" s="39" t="s">
        <v>2057</v>
      </c>
      <c r="K882" s="36" t="s">
        <v>1179</v>
      </c>
      <c r="L882" s="51">
        <v>60</v>
      </c>
      <c r="M882" s="51">
        <v>60</v>
      </c>
      <c r="N882" s="41">
        <v>44593</v>
      </c>
      <c r="O882" s="137"/>
      <c r="P882" s="137"/>
      <c r="Q882" s="176" t="e">
        <f>MONTH([1]!Tableau13[[#This Row],[Date début]])</f>
        <v>#REF!</v>
      </c>
      <c r="R882" s="180" t="e">
        <f>YEAR([1]!Tableau13[[#This Row],[Date début]])</f>
        <v>#REF!</v>
      </c>
      <c r="S882" s="44"/>
      <c r="T882" s="44"/>
    </row>
    <row r="883" spans="1:20" s="75" customFormat="1" ht="23.25">
      <c r="A883" s="35">
        <v>44594</v>
      </c>
      <c r="B883" s="36">
        <v>426</v>
      </c>
      <c r="C883" s="37" t="str">
        <f>IF(ISNA(VLOOKUP(Tableau13[[#This Row],[Code]],'Code Véhicule'!$A$4:$C$185,2,0)),"",VLOOKUP(Tableau13[[#This Row],[Code]],'Code Véhicule'!$A$4:$C$185,2,0))</f>
        <v>Chariot elevateur</v>
      </c>
      <c r="D883" s="38" t="str">
        <f>IF(ISNA(VLOOKUP(Tableau13[[#This Row],[Code]],'Code Véhicule'!$A$4:$C$185,3,0)),"",VLOOKUP(Tableau13[[#This Row],[Code]],'Code Véhicule'!$A$4:$C$185,3,0))</f>
        <v>Manitou MC 30</v>
      </c>
      <c r="E883" s="36" t="str">
        <f>IF(ISNA(VLOOKUP(Tableau13[[#This Row],[Code]],'Code Véhicule'!$A$4:$D$185,4,0))," ",VLOOKUP(Tableau13[[#This Row],[Code]],'Code Véhicule'!$A$4:$D$185,4,0))</f>
        <v>-</v>
      </c>
      <c r="F883" s="36">
        <v>26147</v>
      </c>
      <c r="G883" s="38" t="s">
        <v>1668</v>
      </c>
      <c r="H883" s="38" t="s">
        <v>1663</v>
      </c>
      <c r="I883" s="36" t="s">
        <v>304</v>
      </c>
      <c r="J883" s="39" t="s">
        <v>1669</v>
      </c>
      <c r="K883" s="36">
        <v>177055</v>
      </c>
      <c r="L883" s="40">
        <v>360</v>
      </c>
      <c r="M883" s="40">
        <v>360</v>
      </c>
      <c r="N883" s="41">
        <v>44594</v>
      </c>
      <c r="O883" s="45"/>
      <c r="P883" s="45"/>
      <c r="Q883" s="176" t="e">
        <f>MONTH([1]!Tableau13[[#This Row],[Date début]])</f>
        <v>#REF!</v>
      </c>
      <c r="R883" s="180" t="e">
        <f>YEAR([1]!Tableau13[[#This Row],[Date début]])</f>
        <v>#REF!</v>
      </c>
      <c r="S883" s="44"/>
      <c r="T883" s="44"/>
    </row>
    <row r="884" spans="1:20" s="75" customFormat="1" ht="105">
      <c r="A884" s="35">
        <v>44594</v>
      </c>
      <c r="B884" s="36" t="s">
        <v>1199</v>
      </c>
      <c r="C884" s="37" t="str">
        <f>IF(ISNA(VLOOKUP(Tableau13[[#This Row],[Code]],'Code Véhicule'!$A$4:$C$185,2,0)),"",VLOOKUP(Tableau13[[#This Row],[Code]],'Code Véhicule'!$A$4:$C$185,2,0))</f>
        <v>Chargeur</v>
      </c>
      <c r="D884" s="38" t="str">
        <f>IF(ISNA(VLOOKUP(Tableau13[[#This Row],[Code]],'Code Véhicule'!$A$4:$C$185,3,0)),"",VLOOKUP(Tableau13[[#This Row],[Code]],'Code Véhicule'!$A$4:$C$185,3,0))</f>
        <v>Caterpillar</v>
      </c>
      <c r="E884" s="36" t="str">
        <f>IF(ISNA(VLOOKUP(Tableau13[[#This Row],[Code]],'Code Véhicule'!$A$4:$D$185,4,0))," ",VLOOKUP(Tableau13[[#This Row],[Code]],'Code Véhicule'!$A$4:$D$185,4,0))</f>
        <v>-</v>
      </c>
      <c r="F884" s="36">
        <v>26079</v>
      </c>
      <c r="G884" s="38" t="s">
        <v>1146</v>
      </c>
      <c r="H884" s="38" t="s">
        <v>1712</v>
      </c>
      <c r="I884" s="36" t="s">
        <v>304</v>
      </c>
      <c r="J884" s="39" t="s">
        <v>1718</v>
      </c>
      <c r="K884" s="36" t="s">
        <v>1713</v>
      </c>
      <c r="L884" s="40">
        <v>14820</v>
      </c>
      <c r="M884" s="40">
        <v>14820</v>
      </c>
      <c r="N884" s="41">
        <v>44652</v>
      </c>
      <c r="O884" s="45"/>
      <c r="P884" s="45"/>
      <c r="Q884" s="176" t="e">
        <f>MONTH([1]!Tableau13[[#This Row],[Date début]])</f>
        <v>#REF!</v>
      </c>
      <c r="R884" s="180" t="e">
        <f>YEAR([1]!Tableau13[[#This Row],[Date début]])</f>
        <v>#REF!</v>
      </c>
      <c r="S884" s="44"/>
      <c r="T884" s="44"/>
    </row>
    <row r="885" spans="1:20" s="75" customFormat="1" ht="30">
      <c r="A885" s="35">
        <v>44595</v>
      </c>
      <c r="B885" s="36">
        <v>434</v>
      </c>
      <c r="C885" s="37" t="str">
        <f>IF(ISNA(VLOOKUP(Tableau13[[#This Row],[Code]],'Code Véhicule'!$A$4:$C$185,2,0)),"",VLOOKUP(Tableau13[[#This Row],[Code]],'Code Véhicule'!$A$4:$C$185,2,0))</f>
        <v>Chariot elevateur</v>
      </c>
      <c r="D885" s="38" t="str">
        <f>IF(ISNA(VLOOKUP(Tableau13[[#This Row],[Code]],'Code Véhicule'!$A$4:$C$185,3,0)),"",VLOOKUP(Tableau13[[#This Row],[Code]],'Code Véhicule'!$A$4:$C$185,3,0))</f>
        <v>Linde H30D</v>
      </c>
      <c r="E885" s="36" t="str">
        <f>IF(ISNA(VLOOKUP(Tableau13[[#This Row],[Code]],'Code Véhicule'!$A$4:$D$185,4,0))," ",VLOOKUP(Tableau13[[#This Row],[Code]],'Code Véhicule'!$A$4:$D$185,4,0))</f>
        <v>-</v>
      </c>
      <c r="F885" s="36">
        <v>26148</v>
      </c>
      <c r="G885" s="38" t="s">
        <v>493</v>
      </c>
      <c r="H885" s="38" t="s">
        <v>601</v>
      </c>
      <c r="I885" s="36" t="s">
        <v>304</v>
      </c>
      <c r="J885" s="39" t="s">
        <v>1670</v>
      </c>
      <c r="K885" s="36">
        <v>177059</v>
      </c>
      <c r="L885" s="40">
        <v>120</v>
      </c>
      <c r="M885" s="40">
        <v>120</v>
      </c>
      <c r="N885" s="41">
        <v>44595</v>
      </c>
      <c r="O885" s="45"/>
      <c r="P885" s="45"/>
      <c r="Q885" s="176" t="e">
        <f>MONTH([1]!Tableau13[[#This Row],[Date début]])</f>
        <v>#REF!</v>
      </c>
      <c r="R885" s="180" t="e">
        <f>YEAR([1]!Tableau13[[#This Row],[Date début]])</f>
        <v>#REF!</v>
      </c>
      <c r="S885" s="44"/>
      <c r="T885" s="44"/>
    </row>
    <row r="886" spans="1:20" s="75" customFormat="1" ht="23.25">
      <c r="A886" s="35">
        <v>44596</v>
      </c>
      <c r="B886" s="36">
        <v>410</v>
      </c>
      <c r="C886" s="37" t="str">
        <f>IF(ISNA(VLOOKUP(Tableau13[[#This Row],[Code]],'Code Véhicule'!$A$4:$C$185,2,0)),"",VLOOKUP(Tableau13[[#This Row],[Code]],'Code Véhicule'!$A$4:$C$185,2,0))</f>
        <v>Semi remorque</v>
      </c>
      <c r="D886" s="38" t="str">
        <f>IF(ISNA(VLOOKUP(Tableau13[[#This Row],[Code]],'Code Véhicule'!$A$4:$C$185,3,0)),"",VLOOKUP(Tableau13[[#This Row],[Code]],'Code Véhicule'!$A$4:$C$185,3,0))</f>
        <v>MAN</v>
      </c>
      <c r="E886" s="36" t="str">
        <f>IF(ISNA(VLOOKUP(Tableau13[[#This Row],[Code]],'Code Véhicule'!$A$4:$D$185,4,0))," ",VLOOKUP(Tableau13[[#This Row],[Code]],'Code Véhicule'!$A$4:$D$185,4,0))</f>
        <v xml:space="preserve">28659-D-1 </v>
      </c>
      <c r="F886" s="36">
        <v>26149</v>
      </c>
      <c r="G886" s="38" t="s">
        <v>560</v>
      </c>
      <c r="H886" s="38" t="s">
        <v>604</v>
      </c>
      <c r="I886" s="36" t="s">
        <v>304</v>
      </c>
      <c r="J886" s="39" t="s">
        <v>1671</v>
      </c>
      <c r="K886" s="36">
        <v>177062</v>
      </c>
      <c r="L886" s="40">
        <v>120</v>
      </c>
      <c r="M886" s="40">
        <v>120</v>
      </c>
      <c r="N886" s="41">
        <v>44596</v>
      </c>
      <c r="O886" s="45"/>
      <c r="P886" s="45"/>
      <c r="Q886" s="176" t="e">
        <f>MONTH([1]!Tableau13[[#This Row],[Date début]])</f>
        <v>#REF!</v>
      </c>
      <c r="R886" s="180" t="e">
        <f>YEAR([1]!Tableau13[[#This Row],[Date début]])</f>
        <v>#REF!</v>
      </c>
      <c r="S886" s="44"/>
      <c r="T886" s="44"/>
    </row>
    <row r="887" spans="1:20" s="75" customFormat="1" ht="30">
      <c r="A887" s="35">
        <v>44597</v>
      </c>
      <c r="B887" s="36">
        <v>479</v>
      </c>
      <c r="C887" s="37" t="str">
        <f>IF(ISNA(VLOOKUP(Tableau13[[#This Row],[Code]],'Code Véhicule'!$A$4:$C$185,2,0)),"",VLOOKUP(Tableau13[[#This Row],[Code]],'Code Véhicule'!$A$4:$C$185,2,0))</f>
        <v>Bus de transport</v>
      </c>
      <c r="D887" s="38" t="str">
        <f>IF(ISNA(VLOOKUP(Tableau13[[#This Row],[Code]],'Code Véhicule'!$A$4:$C$185,3,0)),"",VLOOKUP(Tableau13[[#This Row],[Code]],'Code Véhicule'!$A$4:$C$185,3,0))</f>
        <v>Hyundai County</v>
      </c>
      <c r="E887" s="36" t="str">
        <f>IF(ISNA(VLOOKUP(Tableau13[[#This Row],[Code]],'Code Véhicule'!$A$4:$D$185,4,0))," ",VLOOKUP(Tableau13[[#This Row],[Code]],'Code Véhicule'!$A$4:$D$185,4,0))</f>
        <v>22772-A-73</v>
      </c>
      <c r="F887" s="36">
        <v>26150</v>
      </c>
      <c r="G887" s="38" t="s">
        <v>313</v>
      </c>
      <c r="H887" s="38" t="s">
        <v>841</v>
      </c>
      <c r="I887" s="36" t="s">
        <v>304</v>
      </c>
      <c r="J887" s="39" t="s">
        <v>1672</v>
      </c>
      <c r="K887" s="36">
        <v>177064</v>
      </c>
      <c r="L887" s="40">
        <v>1140</v>
      </c>
      <c r="M887" s="40">
        <v>1140</v>
      </c>
      <c r="N887" s="41">
        <v>44600</v>
      </c>
      <c r="O887" s="45"/>
      <c r="P887" s="45"/>
      <c r="Q887" s="176" t="e">
        <f>MONTH([1]!Tableau13[[#This Row],[Date début]])</f>
        <v>#REF!</v>
      </c>
      <c r="R887" s="180" t="e">
        <f>YEAR([1]!Tableau13[[#This Row],[Date début]])</f>
        <v>#REF!</v>
      </c>
      <c r="S887" s="44"/>
      <c r="T887" s="44"/>
    </row>
    <row r="888" spans="1:20" s="75" customFormat="1" ht="45">
      <c r="A888" s="35">
        <v>44597</v>
      </c>
      <c r="B888" s="36">
        <v>439</v>
      </c>
      <c r="C888" s="37" t="str">
        <f>IF(ISNA(VLOOKUP(Tableau13[[#This Row],[Code]],'Code Véhicule'!$A$4:$C$185,2,0)),"",VLOOKUP(Tableau13[[#This Row],[Code]],'Code Véhicule'!$A$4:$C$185,2,0))</f>
        <v>Semi remorque</v>
      </c>
      <c r="D888" s="38" t="str">
        <f>IF(ISNA(VLOOKUP(Tableau13[[#This Row],[Code]],'Code Véhicule'!$A$4:$C$185,3,0)),"",VLOOKUP(Tableau13[[#This Row],[Code]],'Code Véhicule'!$A$4:$C$185,3,0))</f>
        <v>VOLVO</v>
      </c>
      <c r="E888" s="36" t="str">
        <f>IF(ISNA(VLOOKUP(Tableau13[[#This Row],[Code]],'Code Véhicule'!$A$4:$D$185,4,0))," ",VLOOKUP(Tableau13[[#This Row],[Code]],'Code Véhicule'!$A$4:$D$185,4,0))</f>
        <v xml:space="preserve">17886-A-73 </v>
      </c>
      <c r="F888" s="36">
        <v>26051</v>
      </c>
      <c r="G888" s="38" t="s">
        <v>393</v>
      </c>
      <c r="H888" s="38" t="s">
        <v>608</v>
      </c>
      <c r="I888" s="36" t="s">
        <v>304</v>
      </c>
      <c r="J888" s="39" t="s">
        <v>1720</v>
      </c>
      <c r="K888" s="36">
        <v>177067</v>
      </c>
      <c r="L888" s="40">
        <v>360</v>
      </c>
      <c r="M888" s="40">
        <v>360</v>
      </c>
      <c r="N888" s="41">
        <v>44597</v>
      </c>
      <c r="O888" s="45"/>
      <c r="P888" s="45"/>
      <c r="Q888" s="176" t="e">
        <f>MONTH([1]!Tableau13[[#This Row],[Date début]])</f>
        <v>#REF!</v>
      </c>
      <c r="R888" s="180" t="e">
        <f>YEAR([1]!Tableau13[[#This Row],[Date début]])</f>
        <v>#REF!</v>
      </c>
      <c r="S888" s="44"/>
      <c r="T888" s="44"/>
    </row>
    <row r="889" spans="1:20" s="75" customFormat="1" ht="30">
      <c r="A889" s="35">
        <v>44600</v>
      </c>
      <c r="B889" s="36">
        <v>410</v>
      </c>
      <c r="C889" s="37" t="str">
        <f>IF(ISNA(VLOOKUP(Tableau13[[#This Row],[Code]],'Code Véhicule'!$A$4:$C$185,2,0)),"",VLOOKUP(Tableau13[[#This Row],[Code]],'Code Véhicule'!$A$4:$C$185,2,0))</f>
        <v>Semi remorque</v>
      </c>
      <c r="D889" s="38" t="str">
        <f>IF(ISNA(VLOOKUP(Tableau13[[#This Row],[Code]],'Code Véhicule'!$A$4:$C$185,3,0)),"",VLOOKUP(Tableau13[[#This Row],[Code]],'Code Véhicule'!$A$4:$C$185,3,0))</f>
        <v>MAN</v>
      </c>
      <c r="E889" s="36" t="str">
        <f>IF(ISNA(VLOOKUP(Tableau13[[#This Row],[Code]],'Code Véhicule'!$A$4:$D$185,4,0))," ",VLOOKUP(Tableau13[[#This Row],[Code]],'Code Véhicule'!$A$4:$D$185,4,0))</f>
        <v xml:space="preserve">28659-D-1 </v>
      </c>
      <c r="F889" s="36">
        <v>26052</v>
      </c>
      <c r="G889" s="38" t="s">
        <v>353</v>
      </c>
      <c r="H889" s="38" t="s">
        <v>1034</v>
      </c>
      <c r="I889" s="36" t="s">
        <v>304</v>
      </c>
      <c r="J889" s="39" t="s">
        <v>1673</v>
      </c>
      <c r="K889" s="36">
        <v>177073</v>
      </c>
      <c r="L889" s="40">
        <v>570</v>
      </c>
      <c r="M889" s="40">
        <v>570</v>
      </c>
      <c r="N889" s="41">
        <v>44600</v>
      </c>
      <c r="O889" s="45"/>
      <c r="P889" s="45"/>
      <c r="Q889" s="176" t="e">
        <f>MONTH([1]!Tableau13[[#This Row],[Date début]])</f>
        <v>#REF!</v>
      </c>
      <c r="R889" s="180" t="e">
        <f>YEAR([1]!Tableau13[[#This Row],[Date début]])</f>
        <v>#REF!</v>
      </c>
      <c r="S889" s="44"/>
      <c r="T889" s="44"/>
    </row>
    <row r="890" spans="1:20" s="75" customFormat="1" ht="30">
      <c r="A890" s="35">
        <v>44601</v>
      </c>
      <c r="B890" s="36">
        <v>481</v>
      </c>
      <c r="C890" s="37" t="str">
        <f>IF(ISNA(VLOOKUP(Tableau13[[#This Row],[Code]],'Code Véhicule'!$A$4:$C$185,2,0)),"",VLOOKUP(Tableau13[[#This Row],[Code]],'Code Véhicule'!$A$4:$C$185,2,0))</f>
        <v>Camion</v>
      </c>
      <c r="D890" s="38" t="str">
        <f>IF(ISNA(VLOOKUP(Tableau13[[#This Row],[Code]],'Code Véhicule'!$A$4:$C$185,3,0)),"",VLOOKUP(Tableau13[[#This Row],[Code]],'Code Véhicule'!$A$4:$C$185,3,0))</f>
        <v>VOLVO</v>
      </c>
      <c r="E890" s="36" t="str">
        <f>IF(ISNA(VLOOKUP(Tableau13[[#This Row],[Code]],'Code Véhicule'!$A$4:$D$185,4,0))," ",VLOOKUP(Tableau13[[#This Row],[Code]],'Code Véhicule'!$A$4:$D$185,4,0))</f>
        <v>22300-A-73</v>
      </c>
      <c r="F890" s="36">
        <v>26053</v>
      </c>
      <c r="G890" s="38" t="s">
        <v>560</v>
      </c>
      <c r="H890" s="38" t="s">
        <v>604</v>
      </c>
      <c r="I890" s="36" t="s">
        <v>304</v>
      </c>
      <c r="J890" s="39" t="s">
        <v>1693</v>
      </c>
      <c r="K890" s="36">
        <v>177078</v>
      </c>
      <c r="L890" s="40">
        <v>120</v>
      </c>
      <c r="M890" s="40">
        <v>120</v>
      </c>
      <c r="N890" s="41">
        <v>44601</v>
      </c>
      <c r="O890" s="45"/>
      <c r="P890" s="45"/>
      <c r="Q890" s="176" t="e">
        <f>MONTH([1]!Tableau13[[#This Row],[Date début]])</f>
        <v>#REF!</v>
      </c>
      <c r="R890" s="180" t="e">
        <f>YEAR([1]!Tableau13[[#This Row],[Date début]])</f>
        <v>#REF!</v>
      </c>
      <c r="S890" s="44"/>
      <c r="T890" s="44"/>
    </row>
    <row r="891" spans="1:20" s="75" customFormat="1" ht="45">
      <c r="A891" s="35">
        <v>44602</v>
      </c>
      <c r="B891" s="36">
        <v>403</v>
      </c>
      <c r="C891" s="37" t="str">
        <f>IF(ISNA(VLOOKUP(Tableau13[[#This Row],[Code]],'Code Véhicule'!$A$4:$C$185,2,0)),"",VLOOKUP(Tableau13[[#This Row],[Code]],'Code Véhicule'!$A$4:$C$185,2,0))</f>
        <v>Camion</v>
      </c>
      <c r="D891" s="38" t="str">
        <f>IF(ISNA(VLOOKUP(Tableau13[[#This Row],[Code]],'Code Véhicule'!$A$4:$C$185,3,0)),"",VLOOKUP(Tableau13[[#This Row],[Code]],'Code Véhicule'!$A$4:$C$185,3,0))</f>
        <v>MAN</v>
      </c>
      <c r="E891" s="36" t="str">
        <f>IF(ISNA(VLOOKUP(Tableau13[[#This Row],[Code]],'Code Véhicule'!$A$4:$D$185,4,0))," ",VLOOKUP(Tableau13[[#This Row],[Code]],'Code Véhicule'!$A$4:$D$185,4,0))</f>
        <v>4790-B-8</v>
      </c>
      <c r="F891" s="36">
        <v>26136</v>
      </c>
      <c r="G891" s="38" t="s">
        <v>1654</v>
      </c>
      <c r="H891" s="38" t="s">
        <v>1653</v>
      </c>
      <c r="I891" s="36" t="s">
        <v>304</v>
      </c>
      <c r="J891" s="39" t="s">
        <v>1655</v>
      </c>
      <c r="K891" s="36"/>
      <c r="L891" s="40"/>
      <c r="M891" s="40" t="str">
        <f>IF(ISBLANK(Tableau13[[#This Row],[N BS]]),"",(Tableau13[[#This Row],[N BS]]-Tableau13[[#This Row],[Date début]]))</f>
        <v/>
      </c>
      <c r="N891" s="41">
        <v>44604</v>
      </c>
      <c r="O891" s="45"/>
      <c r="P891" s="45"/>
      <c r="Q891" s="176" t="e">
        <f>MONTH([1]!Tableau13[[#This Row],[Date début]])</f>
        <v>#REF!</v>
      </c>
      <c r="R891" s="180" t="e">
        <f>YEAR([1]!Tableau13[[#This Row],[Date début]])</f>
        <v>#REF!</v>
      </c>
      <c r="S891" s="44"/>
      <c r="T891" s="44"/>
    </row>
    <row r="892" spans="1:20" s="75" customFormat="1" ht="90">
      <c r="A892" s="35">
        <v>44602</v>
      </c>
      <c r="B892" s="36">
        <v>406</v>
      </c>
      <c r="C892" s="37" t="str">
        <f>IF(ISNA(VLOOKUP(Tableau13[[#This Row],[Code]],'Code Véhicule'!$A$4:$C$185,2,0)),"",VLOOKUP(Tableau13[[#This Row],[Code]],'Code Véhicule'!$A$4:$C$185,2,0))</f>
        <v>Semi remorque</v>
      </c>
      <c r="D892" s="38" t="str">
        <f>IF(ISNA(VLOOKUP(Tableau13[[#This Row],[Code]],'Code Véhicule'!$A$4:$C$185,3,0)),"",VLOOKUP(Tableau13[[#This Row],[Code]],'Code Véhicule'!$A$4:$C$185,3,0))</f>
        <v>VOLVO</v>
      </c>
      <c r="E892" s="36" t="str">
        <f>IF(ISNA(VLOOKUP(Tableau13[[#This Row],[Code]],'Code Véhicule'!$A$4:$D$185,4,0))," ",VLOOKUP(Tableau13[[#This Row],[Code]],'Code Véhicule'!$A$4:$D$185,4,0))</f>
        <v>70352-A-6</v>
      </c>
      <c r="F892" s="36">
        <v>26058</v>
      </c>
      <c r="G892" s="38" t="s">
        <v>1681</v>
      </c>
      <c r="H892" s="38" t="s">
        <v>1682</v>
      </c>
      <c r="I892" s="36" t="s">
        <v>304</v>
      </c>
      <c r="J892" s="39" t="s">
        <v>1723</v>
      </c>
      <c r="K892" s="36" t="s">
        <v>1683</v>
      </c>
      <c r="L892" s="40">
        <v>14800</v>
      </c>
      <c r="M892" s="40">
        <v>14800</v>
      </c>
      <c r="N892" s="41">
        <v>44630</v>
      </c>
      <c r="O892" s="45"/>
      <c r="P892" s="45"/>
      <c r="Q892" s="176" t="e">
        <f>MONTH([1]!Tableau13[[#This Row],[Date début]])</f>
        <v>#REF!</v>
      </c>
      <c r="R892" s="180" t="e">
        <f>YEAR([1]!Tableau13[[#This Row],[Date début]])</f>
        <v>#REF!</v>
      </c>
      <c r="S892" s="44"/>
      <c r="T892" s="44"/>
    </row>
    <row r="893" spans="1:20" s="75" customFormat="1" ht="23.25">
      <c r="A893" s="35">
        <v>44603</v>
      </c>
      <c r="B893" s="36">
        <v>471</v>
      </c>
      <c r="C893" s="37" t="str">
        <f>IF(ISNA(VLOOKUP(Tableau13[[#This Row],[Code]],'Code Véhicule'!$A$4:$C$185,2,0)),"",VLOOKUP(Tableau13[[#This Row],[Code]],'Code Véhicule'!$A$4:$C$185,2,0))</f>
        <v>Bus de transport</v>
      </c>
      <c r="D893" s="38" t="str">
        <f>IF(ISNA(VLOOKUP(Tableau13[[#This Row],[Code]],'Code Véhicule'!$A$4:$C$185,3,0)),"",VLOOKUP(Tableau13[[#This Row],[Code]],'Code Véhicule'!$A$4:$C$185,3,0))</f>
        <v xml:space="preserve">Hyundai County </v>
      </c>
      <c r="E893" s="36" t="str">
        <f>IF(ISNA(VLOOKUP(Tableau13[[#This Row],[Code]],'Code Véhicule'!$A$4:$D$185,4,0))," ",VLOOKUP(Tableau13[[#This Row],[Code]],'Code Véhicule'!$A$4:$D$185,4,0))</f>
        <v>18516-A-73</v>
      </c>
      <c r="F893" s="36">
        <v>26054</v>
      </c>
      <c r="G893" s="38" t="s">
        <v>1534</v>
      </c>
      <c r="H893" s="38" t="s">
        <v>1674</v>
      </c>
      <c r="I893" s="36" t="s">
        <v>304</v>
      </c>
      <c r="J893" s="39" t="s">
        <v>1675</v>
      </c>
      <c r="K893" s="36">
        <v>177083</v>
      </c>
      <c r="L893" s="40">
        <v>360</v>
      </c>
      <c r="M893" s="40">
        <v>360</v>
      </c>
      <c r="N893" s="41">
        <v>44603</v>
      </c>
      <c r="O893" s="45"/>
      <c r="P893" s="45"/>
      <c r="Q893" s="176" t="e">
        <f>MONTH([1]!Tableau13[[#This Row],[Date début]])</f>
        <v>#REF!</v>
      </c>
      <c r="R893" s="180" t="e">
        <f>YEAR([1]!Tableau13[[#This Row],[Date début]])</f>
        <v>#REF!</v>
      </c>
      <c r="S893" s="44"/>
      <c r="T893" s="44"/>
    </row>
    <row r="894" spans="1:20" s="75" customFormat="1" ht="23.25">
      <c r="A894" s="35">
        <v>44603</v>
      </c>
      <c r="B894" s="36">
        <v>438</v>
      </c>
      <c r="C894" s="37" t="str">
        <f>IF(ISNA(VLOOKUP(Tableau13[[#This Row],[Code]],'Code Véhicule'!$A$4:$C$185,2,0)),"",VLOOKUP(Tableau13[[#This Row],[Code]],'Code Véhicule'!$A$4:$C$185,2,0))</f>
        <v>Semi remorque</v>
      </c>
      <c r="D894" s="38" t="str">
        <f>IF(ISNA(VLOOKUP(Tableau13[[#This Row],[Code]],'Code Véhicule'!$A$4:$C$185,3,0)),"",VLOOKUP(Tableau13[[#This Row],[Code]],'Code Véhicule'!$A$4:$C$185,3,0))</f>
        <v>VOLVO</v>
      </c>
      <c r="E894" s="36" t="str">
        <f>IF(ISNA(VLOOKUP(Tableau13[[#This Row],[Code]],'Code Véhicule'!$A$4:$D$185,4,0))," ",VLOOKUP(Tableau13[[#This Row],[Code]],'Code Véhicule'!$A$4:$D$185,4,0))</f>
        <v xml:space="preserve">17885-A-73 </v>
      </c>
      <c r="F894" s="36">
        <v>26055</v>
      </c>
      <c r="G894" s="38" t="s">
        <v>560</v>
      </c>
      <c r="H894" s="38" t="s">
        <v>604</v>
      </c>
      <c r="I894" s="36" t="s">
        <v>304</v>
      </c>
      <c r="J894" s="39" t="s">
        <v>1303</v>
      </c>
      <c r="K894" s="36">
        <v>177087</v>
      </c>
      <c r="L894" s="40">
        <v>240</v>
      </c>
      <c r="M894" s="40">
        <v>240</v>
      </c>
      <c r="N894" s="41">
        <v>44603</v>
      </c>
      <c r="O894" s="45"/>
      <c r="P894" s="45"/>
      <c r="Q894" s="176" t="e">
        <f>MONTH([1]!Tableau13[[#This Row],[Date début]])</f>
        <v>#REF!</v>
      </c>
      <c r="R894" s="180" t="e">
        <f>YEAR([1]!Tableau13[[#This Row],[Date début]])</f>
        <v>#REF!</v>
      </c>
      <c r="S894" s="44"/>
      <c r="T894" s="44"/>
    </row>
    <row r="895" spans="1:20" s="75" customFormat="1" ht="30">
      <c r="A895" s="35">
        <v>44604</v>
      </c>
      <c r="B895" s="36">
        <v>407</v>
      </c>
      <c r="C895" s="37" t="str">
        <f>IF(ISNA(VLOOKUP(Tableau13[[#This Row],[Code]],'Code Véhicule'!$A$4:$C$185,2,0)),"",VLOOKUP(Tableau13[[#This Row],[Code]],'Code Véhicule'!$A$4:$C$185,2,0))</f>
        <v>Semi remorque</v>
      </c>
      <c r="D895" s="38" t="str">
        <f>IF(ISNA(VLOOKUP(Tableau13[[#This Row],[Code]],'Code Véhicule'!$A$4:$C$185,3,0)),"",VLOOKUP(Tableau13[[#This Row],[Code]],'Code Véhicule'!$A$4:$C$185,3,0))</f>
        <v>MAN</v>
      </c>
      <c r="E895" s="36" t="str">
        <f>IF(ISNA(VLOOKUP(Tableau13[[#This Row],[Code]],'Code Véhicule'!$A$4:$D$185,4,0))," ",VLOOKUP(Tableau13[[#This Row],[Code]],'Code Véhicule'!$A$4:$D$185,4,0))</f>
        <v>706-A-73</v>
      </c>
      <c r="F895" s="36">
        <v>26056</v>
      </c>
      <c r="G895" s="38" t="s">
        <v>523</v>
      </c>
      <c r="H895" s="38" t="s">
        <v>601</v>
      </c>
      <c r="I895" s="36" t="s">
        <v>304</v>
      </c>
      <c r="J895" s="39" t="s">
        <v>1676</v>
      </c>
      <c r="K895" s="36">
        <v>177091</v>
      </c>
      <c r="L895" s="40">
        <v>240</v>
      </c>
      <c r="M895" s="40">
        <v>240</v>
      </c>
      <c r="N895" s="41">
        <v>44604</v>
      </c>
      <c r="O895" s="45"/>
      <c r="P895" s="45"/>
      <c r="Q895" s="176" t="e">
        <f>MONTH([1]!Tableau13[[#This Row],[Date début]])</f>
        <v>#REF!</v>
      </c>
      <c r="R895" s="180" t="e">
        <f>YEAR([1]!Tableau13[[#This Row],[Date début]])</f>
        <v>#REF!</v>
      </c>
      <c r="S895" s="44"/>
      <c r="T895" s="44"/>
    </row>
    <row r="896" spans="1:20" s="75" customFormat="1" ht="60">
      <c r="A896" s="91">
        <v>44604</v>
      </c>
      <c r="B896" s="92">
        <v>406</v>
      </c>
      <c r="C896" s="93" t="str">
        <f>IF(ISNA(VLOOKUP(Tableau13[[#This Row],[Code]],'Code Véhicule'!$A$4:$C$185,2,0)),"",VLOOKUP(Tableau13[[#This Row],[Code]],'Code Véhicule'!$A$4:$C$185,2,0))</f>
        <v>Semi remorque</v>
      </c>
      <c r="D896" s="94" t="str">
        <f>IF(ISNA(VLOOKUP(Tableau13[[#This Row],[Code]],'Code Véhicule'!$A$4:$C$185,3,0)),"",VLOOKUP(Tableau13[[#This Row],[Code]],'Code Véhicule'!$A$4:$C$185,3,0))</f>
        <v>VOLVO</v>
      </c>
      <c r="E896" s="92" t="str">
        <f>IF(ISNA(VLOOKUP(Tableau13[[#This Row],[Code]],'Code Véhicule'!$A$4:$D$185,4,0))," ",VLOOKUP(Tableau13[[#This Row],[Code]],'Code Véhicule'!$A$4:$D$185,4,0))</f>
        <v>70352-A-6</v>
      </c>
      <c r="F896" s="92">
        <v>26904</v>
      </c>
      <c r="G896" s="94" t="s">
        <v>1681</v>
      </c>
      <c r="H896" s="94" t="s">
        <v>1746</v>
      </c>
      <c r="I896" s="92" t="s">
        <v>304</v>
      </c>
      <c r="J896" s="95" t="s">
        <v>1747</v>
      </c>
      <c r="K896" s="92">
        <v>178327</v>
      </c>
      <c r="L896" s="96">
        <v>11400</v>
      </c>
      <c r="M896" s="96">
        <v>11400</v>
      </c>
      <c r="N896" s="97">
        <v>44638</v>
      </c>
      <c r="O896" s="98"/>
      <c r="P896" s="98"/>
      <c r="Q896" s="177" t="e">
        <f>MONTH([1]!Tableau13[[#This Row],[Date début]])</f>
        <v>#REF!</v>
      </c>
      <c r="R896" s="181" t="e">
        <f>YEAR([1]!Tableau13[[#This Row],[Date début]])</f>
        <v>#REF!</v>
      </c>
      <c r="S896" s="44"/>
      <c r="T896" s="44"/>
    </row>
    <row r="897" spans="1:20" s="75" customFormat="1" ht="30">
      <c r="A897" s="35">
        <v>44608</v>
      </c>
      <c r="B897" s="36">
        <v>434</v>
      </c>
      <c r="C897" s="37" t="str">
        <f>IF(ISNA(VLOOKUP(Tableau13[[#This Row],[Code]],'Code Véhicule'!$A$4:$C$185,2,0)),"",VLOOKUP(Tableau13[[#This Row],[Code]],'Code Véhicule'!$A$4:$C$185,2,0))</f>
        <v>Chariot elevateur</v>
      </c>
      <c r="D897" s="38" t="str">
        <f>IF(ISNA(VLOOKUP(Tableau13[[#This Row],[Code]],'Code Véhicule'!$A$4:$C$185,3,0)),"",VLOOKUP(Tableau13[[#This Row],[Code]],'Code Véhicule'!$A$4:$C$185,3,0))</f>
        <v>Linde H30D</v>
      </c>
      <c r="E897" s="36" t="str">
        <f>IF(ISNA(VLOOKUP(Tableau13[[#This Row],[Code]],'Code Véhicule'!$A$4:$D$185,4,0))," ",VLOOKUP(Tableau13[[#This Row],[Code]],'Code Véhicule'!$A$4:$D$185,4,0))</f>
        <v>-</v>
      </c>
      <c r="F897" s="36">
        <v>26057</v>
      </c>
      <c r="G897" s="38" t="s">
        <v>1677</v>
      </c>
      <c r="H897" s="38" t="s">
        <v>1678</v>
      </c>
      <c r="I897" s="36"/>
      <c r="J897" s="39" t="s">
        <v>1679</v>
      </c>
      <c r="K897" s="36" t="s">
        <v>1680</v>
      </c>
      <c r="L897" s="40">
        <v>360</v>
      </c>
      <c r="M897" s="40">
        <v>360</v>
      </c>
      <c r="N897" s="41">
        <v>44608</v>
      </c>
      <c r="O897" s="45"/>
      <c r="P897" s="45"/>
      <c r="Q897" s="176" t="e">
        <f>MONTH([1]!Tableau13[[#This Row],[Date début]])</f>
        <v>#REF!</v>
      </c>
      <c r="R897" s="180" t="e">
        <f>YEAR([1]!Tableau13[[#This Row],[Date début]])</f>
        <v>#REF!</v>
      </c>
      <c r="S897" s="44"/>
      <c r="T897" s="44"/>
    </row>
    <row r="898" spans="1:20" s="75" customFormat="1" ht="23.25">
      <c r="A898" s="35">
        <v>44609</v>
      </c>
      <c r="B898" s="36">
        <v>417</v>
      </c>
      <c r="C898" s="37">
        <v>171</v>
      </c>
      <c r="D898" s="38" t="str">
        <f>IF(ISNA(VLOOKUP(Tableau13[[#This Row],[Code]],'Code Véhicule'!$A$4:$C$185,3,0)),"",VLOOKUP(Tableau13[[#This Row],[Code]],'Code Véhicule'!$A$4:$C$185,3,0))</f>
        <v>Berlingo</v>
      </c>
      <c r="E898" s="36" t="str">
        <f>IF(ISNA(VLOOKUP(Tableau13[[#This Row],[Code]],'Code Véhicule'!$A$4:$D$185,4,0))," ",VLOOKUP(Tableau13[[#This Row],[Code]],'Code Véhicule'!$A$4:$D$185,4,0))</f>
        <v>981-A-73</v>
      </c>
      <c r="F898" s="36">
        <v>26059</v>
      </c>
      <c r="G898" s="38" t="s">
        <v>560</v>
      </c>
      <c r="H898" s="38" t="s">
        <v>604</v>
      </c>
      <c r="I898" s="36" t="s">
        <v>304</v>
      </c>
      <c r="J898" s="39" t="s">
        <v>530</v>
      </c>
      <c r="K898" s="36">
        <v>177413</v>
      </c>
      <c r="L898" s="40">
        <v>120</v>
      </c>
      <c r="M898" s="40">
        <v>120</v>
      </c>
      <c r="N898" s="41">
        <v>44609</v>
      </c>
      <c r="O898" s="45"/>
      <c r="P898" s="45"/>
      <c r="Q898" s="176" t="e">
        <f>MONTH([1]!Tableau13[[#This Row],[Date début]])</f>
        <v>#REF!</v>
      </c>
      <c r="R898" s="180" t="e">
        <f>YEAR([1]!Tableau13[[#This Row],[Date début]])</f>
        <v>#REF!</v>
      </c>
      <c r="S898" s="44"/>
      <c r="T898" s="44"/>
    </row>
    <row r="899" spans="1:20" s="75" customFormat="1" ht="30">
      <c r="A899" s="35">
        <v>44611</v>
      </c>
      <c r="B899" s="36">
        <v>481</v>
      </c>
      <c r="C899" s="37" t="str">
        <f>IF(ISNA(VLOOKUP(Tableau13[[#This Row],[Code]],'Code Véhicule'!$A$4:$C$185,2,0)),"",VLOOKUP(Tableau13[[#This Row],[Code]],'Code Véhicule'!$A$4:$C$185,2,0))</f>
        <v>Camion</v>
      </c>
      <c r="D899" s="38" t="str">
        <f>IF(ISNA(VLOOKUP(Tableau13[[#This Row],[Code]],'Code Véhicule'!$A$4:$C$185,3,0)),"",VLOOKUP(Tableau13[[#This Row],[Code]],'Code Véhicule'!$A$4:$C$185,3,0))</f>
        <v>VOLVO</v>
      </c>
      <c r="E899" s="36" t="str">
        <f>IF(ISNA(VLOOKUP(Tableau13[[#This Row],[Code]],'Code Véhicule'!$A$4:$D$185,4,0))," ",VLOOKUP(Tableau13[[#This Row],[Code]],'Code Véhicule'!$A$4:$D$185,4,0))</f>
        <v>22300-A-73</v>
      </c>
      <c r="F899" s="36">
        <v>26060</v>
      </c>
      <c r="G899" s="38" t="s">
        <v>928</v>
      </c>
      <c r="H899" s="38" t="s">
        <v>652</v>
      </c>
      <c r="I899" s="36" t="s">
        <v>304</v>
      </c>
      <c r="J899" s="39" t="s">
        <v>1684</v>
      </c>
      <c r="K899" s="36">
        <v>177420</v>
      </c>
      <c r="L899" s="40">
        <v>570</v>
      </c>
      <c r="M899" s="40">
        <v>570</v>
      </c>
      <c r="N899" s="41">
        <v>44611</v>
      </c>
      <c r="O899" s="45"/>
      <c r="P899" s="45"/>
      <c r="Q899" s="176" t="e">
        <f>MONTH([1]!Tableau13[[#This Row],[Date début]])</f>
        <v>#REF!</v>
      </c>
      <c r="R899" s="180" t="e">
        <f>YEAR([1]!Tableau13[[#This Row],[Date début]])</f>
        <v>#REF!</v>
      </c>
      <c r="S899" s="44"/>
      <c r="T899" s="44"/>
    </row>
    <row r="900" spans="1:20" s="75" customFormat="1" ht="150">
      <c r="A900" s="35">
        <v>44612</v>
      </c>
      <c r="B900" s="36">
        <v>408</v>
      </c>
      <c r="C900" s="37" t="str">
        <f>IF(ISNA(VLOOKUP(Tableau13[[#This Row],[Code]],'Code Véhicule'!$A$4:$C$185,2,0)),"",VLOOKUP(Tableau13[[#This Row],[Code]],'Code Véhicule'!$A$4:$C$185,2,0))</f>
        <v>Camion</v>
      </c>
      <c r="D900" s="38" t="str">
        <f>IF(ISNA(VLOOKUP(Tableau13[[#This Row],[Code]],'Code Véhicule'!$A$4:$C$185,3,0)),"",VLOOKUP(Tableau13[[#This Row],[Code]],'Code Véhicule'!$A$4:$C$185,3,0))</f>
        <v>Mitsubishi</v>
      </c>
      <c r="E900" s="36" t="str">
        <f>IF(ISNA(VLOOKUP(Tableau13[[#This Row],[Code]],'Code Véhicule'!$A$4:$D$185,4,0))," ",VLOOKUP(Tableau13[[#This Row],[Code]],'Code Véhicule'!$A$4:$D$185,4,0))</f>
        <v>4703-A-73</v>
      </c>
      <c r="F900" s="36">
        <v>26068</v>
      </c>
      <c r="G900" s="38" t="s">
        <v>1146</v>
      </c>
      <c r="H900" s="38" t="s">
        <v>1215</v>
      </c>
      <c r="I900" s="36" t="s">
        <v>304</v>
      </c>
      <c r="J900" s="39" t="s">
        <v>1724</v>
      </c>
      <c r="K900" s="36" t="s">
        <v>1695</v>
      </c>
      <c r="L900" s="40">
        <v>5700</v>
      </c>
      <c r="M900" s="40">
        <v>11455</v>
      </c>
      <c r="N900" s="41">
        <v>44634</v>
      </c>
      <c r="O900" s="45"/>
      <c r="P900" s="45"/>
      <c r="Q900" s="176" t="e">
        <f>MONTH([1]!Tableau13[[#This Row],[Date début]])</f>
        <v>#REF!</v>
      </c>
      <c r="R900" s="180" t="e">
        <f>YEAR([1]!Tableau13[[#This Row],[Date début]])</f>
        <v>#REF!</v>
      </c>
      <c r="S900" s="44"/>
      <c r="T900" s="44"/>
    </row>
    <row r="901" spans="1:20" s="75" customFormat="1" ht="45">
      <c r="A901" s="35">
        <v>44613</v>
      </c>
      <c r="B901" s="36">
        <v>427</v>
      </c>
      <c r="C901" s="37" t="str">
        <f>IF(ISNA(VLOOKUP(Tableau13[[#This Row],[Code]],'Code Véhicule'!$A$4:$C$185,2,0)),"",VLOOKUP(Tableau13[[#This Row],[Code]],'Code Véhicule'!$A$4:$C$185,2,0))</f>
        <v>Chariot elevateur</v>
      </c>
      <c r="D901" s="38" t="str">
        <f>IF(ISNA(VLOOKUP(Tableau13[[#This Row],[Code]],'Code Véhicule'!$A$4:$C$185,3,0)),"",VLOOKUP(Tableau13[[#This Row],[Code]],'Code Véhicule'!$A$4:$C$185,3,0))</f>
        <v>Linde H30</v>
      </c>
      <c r="E901" s="36" t="str">
        <f>IF(ISNA(VLOOKUP(Tableau13[[#This Row],[Code]],'Code Véhicule'!$A$4:$D$185,4,0))," ",VLOOKUP(Tableau13[[#This Row],[Code]],'Code Véhicule'!$A$4:$D$185,4,0))</f>
        <v>-</v>
      </c>
      <c r="F901" s="36">
        <v>26061</v>
      </c>
      <c r="G901" s="38" t="s">
        <v>556</v>
      </c>
      <c r="H901" s="38" t="s">
        <v>608</v>
      </c>
      <c r="I901" s="36" t="s">
        <v>304</v>
      </c>
      <c r="J901" s="39" t="s">
        <v>1685</v>
      </c>
      <c r="K901" s="36">
        <v>177426</v>
      </c>
      <c r="L901" s="40">
        <v>120</v>
      </c>
      <c r="M901" s="40">
        <v>120</v>
      </c>
      <c r="N901" s="41">
        <v>44614</v>
      </c>
      <c r="O901" s="45"/>
      <c r="P901" s="45"/>
      <c r="Q901" s="176" t="e">
        <f>MONTH([1]!Tableau13[[#This Row],[Date début]])</f>
        <v>#REF!</v>
      </c>
      <c r="R901" s="180" t="e">
        <f>YEAR([1]!Tableau13[[#This Row],[Date début]])</f>
        <v>#REF!</v>
      </c>
      <c r="S901" s="44"/>
      <c r="T901" s="44"/>
    </row>
    <row r="902" spans="1:20" s="75" customFormat="1" ht="60">
      <c r="A902" s="35">
        <v>44613</v>
      </c>
      <c r="B902" s="36">
        <v>438</v>
      </c>
      <c r="C902" s="37" t="str">
        <f>IF(ISNA(VLOOKUP(Tableau13[[#This Row],[Code]],'Code Véhicule'!$A$4:$C$185,2,0)),"",VLOOKUP(Tableau13[[#This Row],[Code]],'Code Véhicule'!$A$4:$C$185,2,0))</f>
        <v>Semi remorque</v>
      </c>
      <c r="D902" s="38" t="str">
        <f>IF(ISNA(VLOOKUP(Tableau13[[#This Row],[Code]],'Code Véhicule'!$A$4:$C$185,3,0)),"",VLOOKUP(Tableau13[[#This Row],[Code]],'Code Véhicule'!$A$4:$C$185,3,0))</f>
        <v>VOLVO</v>
      </c>
      <c r="E902" s="36" t="str">
        <f>IF(ISNA(VLOOKUP(Tableau13[[#This Row],[Code]],'Code Véhicule'!$A$4:$D$185,4,0))," ",VLOOKUP(Tableau13[[#This Row],[Code]],'Code Véhicule'!$A$4:$D$185,4,0))</f>
        <v xml:space="preserve">17885-A-73 </v>
      </c>
      <c r="F902" s="36">
        <v>26062</v>
      </c>
      <c r="G902" s="38" t="s">
        <v>556</v>
      </c>
      <c r="H902" s="38" t="s">
        <v>608</v>
      </c>
      <c r="I902" s="36" t="s">
        <v>304</v>
      </c>
      <c r="J902" s="39" t="s">
        <v>1719</v>
      </c>
      <c r="K902" s="36" t="s">
        <v>1686</v>
      </c>
      <c r="L902" s="40">
        <v>360</v>
      </c>
      <c r="M902" s="40">
        <v>360</v>
      </c>
      <c r="N902" s="41">
        <v>44613</v>
      </c>
      <c r="O902" s="45"/>
      <c r="P902" s="45"/>
      <c r="Q902" s="176" t="e">
        <f>MONTH([1]!Tableau13[[#This Row],[Date début]])</f>
        <v>#REF!</v>
      </c>
      <c r="R902" s="180" t="e">
        <f>YEAR([1]!Tableau13[[#This Row],[Date début]])</f>
        <v>#REF!</v>
      </c>
      <c r="S902" s="44"/>
      <c r="T902" s="44"/>
    </row>
    <row r="903" spans="1:20" s="75" customFormat="1" ht="75">
      <c r="A903" s="35">
        <v>44613</v>
      </c>
      <c r="B903" s="36">
        <v>409</v>
      </c>
      <c r="C903" s="37" t="str">
        <f>IF(ISNA(VLOOKUP(Tableau13[[#This Row],[Code]],'Code Véhicule'!$A$4:$C$185,2,0)),"",VLOOKUP(Tableau13[[#This Row],[Code]],'Code Véhicule'!$A$4:$C$185,2,0))</f>
        <v>Camion</v>
      </c>
      <c r="D903" s="38" t="str">
        <f>IF(ISNA(VLOOKUP(Tableau13[[#This Row],[Code]],'Code Véhicule'!$A$4:$C$185,3,0)),"",VLOOKUP(Tableau13[[#This Row],[Code]],'Code Véhicule'!$A$4:$C$185,3,0))</f>
        <v>Mitsubishi</v>
      </c>
      <c r="E903" s="36" t="str">
        <f>IF(ISNA(VLOOKUP(Tableau13[[#This Row],[Code]],'Code Véhicule'!$A$4:$D$185,4,0))," ",VLOOKUP(Tableau13[[#This Row],[Code]],'Code Véhicule'!$A$4:$D$185,4,0))</f>
        <v xml:space="preserve">4969-A-73 </v>
      </c>
      <c r="F903" s="36">
        <v>26065</v>
      </c>
      <c r="G903" s="38" t="s">
        <v>703</v>
      </c>
      <c r="H903" s="38" t="s">
        <v>1689</v>
      </c>
      <c r="I903" s="36"/>
      <c r="J903" s="39" t="s">
        <v>1690</v>
      </c>
      <c r="K903" s="36" t="s">
        <v>1692</v>
      </c>
      <c r="L903" s="40">
        <v>3420</v>
      </c>
      <c r="M903" s="40">
        <v>3450</v>
      </c>
      <c r="N903" s="41">
        <v>44618</v>
      </c>
      <c r="O903" s="45"/>
      <c r="P903" s="45"/>
      <c r="Q903" s="176" t="e">
        <f>MONTH([1]!Tableau13[[#This Row],[Date début]])</f>
        <v>#REF!</v>
      </c>
      <c r="R903" s="180" t="e">
        <f>YEAR([1]!Tableau13[[#This Row],[Date début]])</f>
        <v>#REF!</v>
      </c>
      <c r="S903" s="44"/>
      <c r="T903" s="44"/>
    </row>
    <row r="904" spans="1:20" s="75" customFormat="1" ht="30">
      <c r="A904" s="35">
        <v>44613</v>
      </c>
      <c r="B904" s="36">
        <v>435</v>
      </c>
      <c r="C904" s="37" t="str">
        <f>IF(ISNA(VLOOKUP(Tableau13[[#This Row],[Code]],'Code Véhicule'!$A$4:$C$185,2,0)),"",VLOOKUP(Tableau13[[#This Row],[Code]],'Code Véhicule'!$A$4:$C$185,2,0))</f>
        <v>Camion</v>
      </c>
      <c r="D904" s="38" t="str">
        <f>IF(ISNA(VLOOKUP(Tableau13[[#This Row],[Code]],'Code Véhicule'!$A$4:$C$185,3,0)),"",VLOOKUP(Tableau13[[#This Row],[Code]],'Code Véhicule'!$A$4:$C$185,3,0))</f>
        <v>Mitsubishi</v>
      </c>
      <c r="E904" s="36" t="str">
        <f>IF(ISNA(VLOOKUP(Tableau13[[#This Row],[Code]],'Code Véhicule'!$A$4:$D$185,4,0))," ",VLOOKUP(Tableau13[[#This Row],[Code]],'Code Véhicule'!$A$4:$D$185,4,0))</f>
        <v xml:space="preserve"> 11469-A-73</v>
      </c>
      <c r="F904" s="36">
        <v>26066</v>
      </c>
      <c r="G904" s="38" t="s">
        <v>393</v>
      </c>
      <c r="H904" s="38" t="s">
        <v>608</v>
      </c>
      <c r="I904" s="36" t="s">
        <v>304</v>
      </c>
      <c r="J904" s="39" t="s">
        <v>1694</v>
      </c>
      <c r="K904" s="36">
        <v>177435</v>
      </c>
      <c r="L904" s="40">
        <v>120</v>
      </c>
      <c r="M904" s="40">
        <v>120</v>
      </c>
      <c r="N904" s="41">
        <v>44615</v>
      </c>
      <c r="O904" s="45"/>
      <c r="P904" s="45"/>
      <c r="Q904" s="176" t="e">
        <f>MONTH([1]!Tableau13[[#This Row],[Date début]])</f>
        <v>#REF!</v>
      </c>
      <c r="R904" s="180" t="e">
        <f>YEAR([1]!Tableau13[[#This Row],[Date début]])</f>
        <v>#REF!</v>
      </c>
      <c r="S904" s="44"/>
      <c r="T904" s="44"/>
    </row>
    <row r="905" spans="1:20" s="75" customFormat="1" ht="23.25">
      <c r="A905" s="35">
        <v>44614</v>
      </c>
      <c r="B905" s="36">
        <v>479</v>
      </c>
      <c r="C905" s="37" t="str">
        <f>IF(ISNA(VLOOKUP(Tableau13[[#This Row],[Code]],'Code Véhicule'!$A$4:$C$185,2,0)),"",VLOOKUP(Tableau13[[#This Row],[Code]],'Code Véhicule'!$A$4:$C$185,2,0))</f>
        <v>Bus de transport</v>
      </c>
      <c r="D905" s="38" t="str">
        <f>IF(ISNA(VLOOKUP(Tableau13[[#This Row],[Code]],'Code Véhicule'!$A$4:$C$185,3,0)),"",VLOOKUP(Tableau13[[#This Row],[Code]],'Code Véhicule'!$A$4:$C$185,3,0))</f>
        <v>Hyundai County</v>
      </c>
      <c r="E905" s="36" t="str">
        <f>IF(ISNA(VLOOKUP(Tableau13[[#This Row],[Code]],'Code Véhicule'!$A$4:$D$185,4,0))," ",VLOOKUP(Tableau13[[#This Row],[Code]],'Code Véhicule'!$A$4:$D$185,4,0))</f>
        <v>22772-A-73</v>
      </c>
      <c r="F905" s="36">
        <v>26145</v>
      </c>
      <c r="G905" s="38" t="s">
        <v>1341</v>
      </c>
      <c r="H905" s="38" t="s">
        <v>1665</v>
      </c>
      <c r="I905" s="36" t="s">
        <v>304</v>
      </c>
      <c r="J905" s="39" t="s">
        <v>1666</v>
      </c>
      <c r="K905" s="36">
        <v>177052</v>
      </c>
      <c r="L905" s="40">
        <v>180</v>
      </c>
      <c r="M905" s="40">
        <v>180</v>
      </c>
      <c r="N905" s="41">
        <v>44614</v>
      </c>
      <c r="O905" s="45"/>
      <c r="P905" s="45"/>
      <c r="Q905" s="176" t="e">
        <f>MONTH([1]!Tableau13[[#This Row],[Date début]])</f>
        <v>#REF!</v>
      </c>
      <c r="R905" s="180" t="e">
        <f>YEAR([1]!Tableau13[[#This Row],[Date début]])</f>
        <v>#REF!</v>
      </c>
      <c r="S905" s="44"/>
      <c r="T905" s="44"/>
    </row>
    <row r="906" spans="1:20" s="75" customFormat="1" ht="75">
      <c r="A906" s="35">
        <v>44614</v>
      </c>
      <c r="B906" s="36">
        <v>430</v>
      </c>
      <c r="C906" s="37" t="str">
        <f>IF(ISNA(VLOOKUP(Tableau13[[#This Row],[Code]],'Code Véhicule'!$A$4:$C$185,2,0)),"",VLOOKUP(Tableau13[[#This Row],[Code]],'Code Véhicule'!$A$4:$C$185,2,0))</f>
        <v>Chariot elevateur</v>
      </c>
      <c r="D906" s="38" t="str">
        <f>IF(ISNA(VLOOKUP(Tableau13[[#This Row],[Code]],'Code Véhicule'!$A$4:$C$185,3,0)),"",VLOOKUP(Tableau13[[#This Row],[Code]],'Code Véhicule'!$A$4:$C$185,3,0))</f>
        <v>Fenwick  H40</v>
      </c>
      <c r="E906" s="36" t="str">
        <f>IF(ISNA(VLOOKUP(Tableau13[[#This Row],[Code]],'Code Véhicule'!$A$4:$D$185,4,0))," ",VLOOKUP(Tableau13[[#This Row],[Code]],'Code Véhicule'!$A$4:$D$185,4,0))</f>
        <v>-</v>
      </c>
      <c r="F906" s="36">
        <v>26063</v>
      </c>
      <c r="G906" s="38" t="s">
        <v>1650</v>
      </c>
      <c r="H906" s="38" t="s">
        <v>799</v>
      </c>
      <c r="I906" s="36" t="s">
        <v>304</v>
      </c>
      <c r="J906" s="39" t="s">
        <v>1687</v>
      </c>
      <c r="K906" s="36" t="s">
        <v>1688</v>
      </c>
      <c r="L906" s="40">
        <v>5700</v>
      </c>
      <c r="M906" s="40">
        <v>5700</v>
      </c>
      <c r="N906" s="41">
        <v>44625</v>
      </c>
      <c r="O906" s="45"/>
      <c r="P906" s="45"/>
      <c r="Q906" s="176" t="e">
        <f>MONTH([1]!Tableau13[[#This Row],[Date début]])</f>
        <v>#REF!</v>
      </c>
      <c r="R906" s="180" t="e">
        <f>YEAR([1]!Tableau13[[#This Row],[Date début]])</f>
        <v>#REF!</v>
      </c>
      <c r="S906" s="44"/>
      <c r="T906" s="44"/>
    </row>
    <row r="907" spans="1:20" s="75" customFormat="1" ht="23.25">
      <c r="A907" s="35">
        <v>44614</v>
      </c>
      <c r="B907" s="36">
        <v>480</v>
      </c>
      <c r="C907" s="37" t="str">
        <f>IF(ISNA(VLOOKUP(Tableau13[[#This Row],[Code]],'Code Véhicule'!$A$4:$C$185,2,0)),"",VLOOKUP(Tableau13[[#This Row],[Code]],'Code Véhicule'!$A$4:$C$185,2,0))</f>
        <v>Camion</v>
      </c>
      <c r="D907" s="38" t="str">
        <f>IF(ISNA(VLOOKUP(Tableau13[[#This Row],[Code]],'Code Véhicule'!$A$4:$C$185,3,0)),"",VLOOKUP(Tableau13[[#This Row],[Code]],'Code Véhicule'!$A$4:$C$185,3,0))</f>
        <v>VOLVO</v>
      </c>
      <c r="E907" s="36" t="str">
        <f>IF(ISNA(VLOOKUP(Tableau13[[#This Row],[Code]],'Code Véhicule'!$A$4:$D$185,4,0))," ",VLOOKUP(Tableau13[[#This Row],[Code]],'Code Véhicule'!$A$4:$D$185,4,0))</f>
        <v>22299-A-73</v>
      </c>
      <c r="F907" s="36">
        <v>26064</v>
      </c>
      <c r="G907" s="38" t="s">
        <v>1534</v>
      </c>
      <c r="H907" s="38" t="s">
        <v>1674</v>
      </c>
      <c r="I907" s="36" t="s">
        <v>304</v>
      </c>
      <c r="J907" s="39" t="s">
        <v>1691</v>
      </c>
      <c r="K907" s="36">
        <v>177431</v>
      </c>
      <c r="L907" s="40">
        <v>180</v>
      </c>
      <c r="M907" s="40">
        <v>180</v>
      </c>
      <c r="N907" s="41">
        <v>44614</v>
      </c>
      <c r="O907" s="45"/>
      <c r="P907" s="45"/>
      <c r="Q907" s="176" t="e">
        <f>MONTH([1]!Tableau13[[#This Row],[Date début]])</f>
        <v>#REF!</v>
      </c>
      <c r="R907" s="180" t="e">
        <f>YEAR([1]!Tableau13[[#This Row],[Date début]])</f>
        <v>#REF!</v>
      </c>
      <c r="S907" s="44"/>
      <c r="T907" s="44"/>
    </row>
    <row r="908" spans="1:20" s="75" customFormat="1" ht="30">
      <c r="A908" s="35">
        <v>44620</v>
      </c>
      <c r="B908" s="36">
        <v>403</v>
      </c>
      <c r="C908" s="37" t="str">
        <f>IF(ISNA(VLOOKUP(Tableau13[[#This Row],[Code]],'Code Véhicule'!$A$4:$C$185,2,0)),"",VLOOKUP(Tableau13[[#This Row],[Code]],'Code Véhicule'!$A$4:$C$185,2,0))</f>
        <v>Camion</v>
      </c>
      <c r="D908" s="38" t="str">
        <f>IF(ISNA(VLOOKUP(Tableau13[[#This Row],[Code]],'Code Véhicule'!$A$4:$C$185,3,0)),"",VLOOKUP(Tableau13[[#This Row],[Code]],'Code Véhicule'!$A$4:$C$185,3,0))</f>
        <v>MAN</v>
      </c>
      <c r="E908" s="36" t="str">
        <f>IF(ISNA(VLOOKUP(Tableau13[[#This Row],[Code]],'Code Véhicule'!$A$4:$D$185,4,0))," ",VLOOKUP(Tableau13[[#This Row],[Code]],'Code Véhicule'!$A$4:$D$185,4,0))</f>
        <v>4790-B-8</v>
      </c>
      <c r="F908" s="36">
        <v>26069</v>
      </c>
      <c r="G908" s="38" t="s">
        <v>1696</v>
      </c>
      <c r="H908" s="38" t="s">
        <v>698</v>
      </c>
      <c r="I908" s="36" t="s">
        <v>304</v>
      </c>
      <c r="J908" s="39" t="s">
        <v>718</v>
      </c>
      <c r="K908" s="36">
        <v>177449</v>
      </c>
      <c r="L908" s="40">
        <v>180</v>
      </c>
      <c r="M908" s="40">
        <v>180</v>
      </c>
      <c r="N908" s="41">
        <v>44620</v>
      </c>
      <c r="O908" s="45"/>
      <c r="P908" s="45"/>
      <c r="Q908" s="176" t="e">
        <f>MONTH([1]!Tableau13[[#This Row],[Date début]])</f>
        <v>#REF!</v>
      </c>
      <c r="R908" s="180" t="e">
        <f>YEAR([1]!Tableau13[[#This Row],[Date début]])</f>
        <v>#REF!</v>
      </c>
      <c r="S908" s="44"/>
      <c r="T908" s="44"/>
    </row>
    <row r="909" spans="1:20" s="75" customFormat="1" ht="30">
      <c r="A909" s="35">
        <v>44620</v>
      </c>
      <c r="B909" s="36">
        <v>417</v>
      </c>
      <c r="C909" s="37" t="str">
        <f>IF(ISNA(VLOOKUP(Tableau13[[#This Row],[Code]],'Code Véhicule'!$A$4:$C$185,2,0)),"",VLOOKUP(Tableau13[[#This Row],[Code]],'Code Véhicule'!$A$4:$C$185,2,0))</f>
        <v>Voiture de fonction</v>
      </c>
      <c r="D909" s="38" t="str">
        <f>IF(ISNA(VLOOKUP(Tableau13[[#This Row],[Code]],'Code Véhicule'!$A$4:$C$185,3,0)),"",VLOOKUP(Tableau13[[#This Row],[Code]],'Code Véhicule'!$A$4:$C$185,3,0))</f>
        <v>Berlingo</v>
      </c>
      <c r="E909" s="36" t="str">
        <f>IF(ISNA(VLOOKUP(Tableau13[[#This Row],[Code]],'Code Véhicule'!$A$4:$D$185,4,0))," ",VLOOKUP(Tableau13[[#This Row],[Code]],'Code Véhicule'!$A$4:$D$185,4,0))</f>
        <v>981-A-73</v>
      </c>
      <c r="F909" s="36">
        <v>26070</v>
      </c>
      <c r="G909" s="38" t="s">
        <v>1146</v>
      </c>
      <c r="H909" s="38" t="s">
        <v>652</v>
      </c>
      <c r="I909" s="36" t="s">
        <v>304</v>
      </c>
      <c r="J909" s="39" t="s">
        <v>1697</v>
      </c>
      <c r="K909" s="36">
        <v>177653</v>
      </c>
      <c r="L909" s="40">
        <v>1140</v>
      </c>
      <c r="M909" s="40">
        <v>1140</v>
      </c>
      <c r="N909" s="41">
        <v>44621</v>
      </c>
      <c r="O909" s="45"/>
      <c r="P909" s="45"/>
      <c r="Q909" s="176" t="e">
        <f>MONTH([1]!Tableau13[[#This Row],[Date début]])</f>
        <v>#REF!</v>
      </c>
      <c r="R909" s="180" t="e">
        <f>YEAR([1]!Tableau13[[#This Row],[Date début]])</f>
        <v>#REF!</v>
      </c>
      <c r="S909" s="44"/>
      <c r="T909" s="44"/>
    </row>
    <row r="910" spans="1:20" s="75" customFormat="1" ht="30">
      <c r="A910" s="35">
        <v>44621</v>
      </c>
      <c r="B910" s="36">
        <v>481</v>
      </c>
      <c r="C910" s="37" t="str">
        <f>IF(ISNA(VLOOKUP(Tableau13[[#This Row],[Code]],'Code Véhicule'!$A$4:$C$185,2,0)),"",VLOOKUP(Tableau13[[#This Row],[Code]],'Code Véhicule'!$A$4:$C$185,2,0))</f>
        <v>Camion</v>
      </c>
      <c r="D910" s="38" t="str">
        <f>IF(ISNA(VLOOKUP(Tableau13[[#This Row],[Code]],'Code Véhicule'!$A$4:$C$185,3,0)),"",VLOOKUP(Tableau13[[#This Row],[Code]],'Code Véhicule'!$A$4:$C$185,3,0))</f>
        <v>VOLVO</v>
      </c>
      <c r="E910" s="36" t="str">
        <f>IF(ISNA(VLOOKUP(Tableau13[[#This Row],[Code]],'Code Véhicule'!$A$4:$D$185,4,0))," ",VLOOKUP(Tableau13[[#This Row],[Code]],'Code Véhicule'!$A$4:$D$185,4,0))</f>
        <v>22300-A-73</v>
      </c>
      <c r="F910" s="36">
        <v>26073</v>
      </c>
      <c r="G910" s="38" t="s">
        <v>523</v>
      </c>
      <c r="H910" s="38" t="s">
        <v>1703</v>
      </c>
      <c r="I910" s="36" t="s">
        <v>304</v>
      </c>
      <c r="J910" s="39" t="s">
        <v>1704</v>
      </c>
      <c r="K910" s="36" t="s">
        <v>1705</v>
      </c>
      <c r="L910" s="40">
        <v>180</v>
      </c>
      <c r="M910" s="40">
        <v>180</v>
      </c>
      <c r="N910" s="41">
        <v>44621</v>
      </c>
      <c r="O910" s="45"/>
      <c r="P910" s="45"/>
      <c r="Q910" s="176" t="e">
        <f>MONTH([1]!Tableau13[[#This Row],[Date début]])</f>
        <v>#REF!</v>
      </c>
      <c r="R910" s="180" t="e">
        <f>YEAR([1]!Tableau13[[#This Row],[Date début]])</f>
        <v>#REF!</v>
      </c>
      <c r="S910" s="44"/>
      <c r="T910" s="44"/>
    </row>
    <row r="911" spans="1:20" s="75" customFormat="1" ht="23.25">
      <c r="A911" s="91">
        <v>44621</v>
      </c>
      <c r="B911" s="92">
        <v>414</v>
      </c>
      <c r="C911" s="93" t="str">
        <f>IF(ISNA(VLOOKUP(Tableau13[[#This Row],[Code]],'Code Véhicule'!$A$4:$C$185,2,0)),"",VLOOKUP(Tableau13[[#This Row],[Code]],'Code Véhicule'!$A$4:$C$185,2,0))</f>
        <v>Balayeuse</v>
      </c>
      <c r="D911" s="94" t="str">
        <f>IF(ISNA(VLOOKUP(Tableau13[[#This Row],[Code]],'Code Véhicule'!$A$4:$C$185,3,0)),"",VLOOKUP(Tableau13[[#This Row],[Code]],'Code Véhicule'!$A$4:$C$185,3,0))</f>
        <v>Bobcat</v>
      </c>
      <c r="E911" s="92" t="str">
        <f>IF(ISNA(VLOOKUP(Tableau13[[#This Row],[Code]],'Code Véhicule'!$A$4:$D$185,4,0))," ",VLOOKUP(Tableau13[[#This Row],[Code]],'Code Véhicule'!$A$4:$D$185,4,0))</f>
        <v>-</v>
      </c>
      <c r="F911" s="92">
        <v>26090</v>
      </c>
      <c r="G911" s="94" t="s">
        <v>1060</v>
      </c>
      <c r="H911" s="94" t="s">
        <v>1736</v>
      </c>
      <c r="I911" s="92" t="s">
        <v>304</v>
      </c>
      <c r="J911" s="95" t="s">
        <v>1737</v>
      </c>
      <c r="K911" s="92">
        <v>177660</v>
      </c>
      <c r="L911" s="96">
        <v>11440</v>
      </c>
      <c r="M911" s="96">
        <v>11440</v>
      </c>
      <c r="N911" s="97">
        <v>44692</v>
      </c>
      <c r="O911" s="98"/>
      <c r="P911" s="98"/>
      <c r="Q911" s="177" t="e">
        <f>MONTH([1]!Tableau13[[#This Row],[Date début]])</f>
        <v>#REF!</v>
      </c>
      <c r="R911" s="181" t="e">
        <f>YEAR([1]!Tableau13[[#This Row],[Date début]])</f>
        <v>#REF!</v>
      </c>
      <c r="S911" s="44"/>
      <c r="T911" s="44"/>
    </row>
    <row r="912" spans="1:20" s="75" customFormat="1" ht="23.25">
      <c r="A912" s="91">
        <v>44621</v>
      </c>
      <c r="B912" s="92">
        <v>431</v>
      </c>
      <c r="C912" s="93" t="str">
        <f>IF(ISNA(VLOOKUP(Tableau13[[#This Row],[Code]],'Code Véhicule'!$A$4:$C$185,2,0)),"",VLOOKUP(Tableau13[[#This Row],[Code]],'Code Véhicule'!$A$4:$C$185,2,0))</f>
        <v>Chariot elevateur</v>
      </c>
      <c r="D912" s="94" t="str">
        <f>IF(ISNA(VLOOKUP(Tableau13[[#This Row],[Code]],'Code Véhicule'!$A$4:$C$185,3,0)),"",VLOOKUP(Tableau13[[#This Row],[Code]],'Code Véhicule'!$A$4:$C$185,3,0))</f>
        <v>Manitou M26-2</v>
      </c>
      <c r="E912" s="92" t="str">
        <f>IF(ISNA(VLOOKUP(Tableau13[[#This Row],[Code]],'Code Véhicule'!$A$4:$D$185,4,0))," ",VLOOKUP(Tableau13[[#This Row],[Code]],'Code Véhicule'!$A$4:$D$185,4,0))</f>
        <v>-</v>
      </c>
      <c r="F912" s="92"/>
      <c r="G912" s="94"/>
      <c r="H912" s="94"/>
      <c r="I912" s="92"/>
      <c r="J912" s="39" t="s">
        <v>1907</v>
      </c>
      <c r="K912" s="92"/>
      <c r="L912" s="96"/>
      <c r="M912" s="96">
        <v>14820</v>
      </c>
      <c r="N912" s="97">
        <v>44650</v>
      </c>
      <c r="O912" s="98"/>
      <c r="P912" s="98"/>
      <c r="Q912" s="177" t="e">
        <f>MONTH([1]!Tableau13[[#This Row],[Date début]])</f>
        <v>#REF!</v>
      </c>
      <c r="R912" s="181" t="e">
        <f>YEAR([1]!Tableau13[[#This Row],[Date début]])</f>
        <v>#REF!</v>
      </c>
      <c r="S912" s="44"/>
      <c r="T912" s="44"/>
    </row>
    <row r="913" spans="1:20" s="75" customFormat="1" ht="23.25">
      <c r="A913" s="35">
        <v>44622</v>
      </c>
      <c r="B913" s="36">
        <v>479</v>
      </c>
      <c r="C913" s="37" t="str">
        <f>IF(ISNA(VLOOKUP(Tableau13[[#This Row],[Code]],'Code Véhicule'!$A$4:$C$185,2,0)),"",VLOOKUP(Tableau13[[#This Row],[Code]],'Code Véhicule'!$A$4:$C$185,2,0))</f>
        <v>Bus de transport</v>
      </c>
      <c r="D913" s="38" t="str">
        <f>IF(ISNA(VLOOKUP(Tableau13[[#This Row],[Code]],'Code Véhicule'!$A$4:$C$185,3,0)),"",VLOOKUP(Tableau13[[#This Row],[Code]],'Code Véhicule'!$A$4:$C$185,3,0))</f>
        <v>Hyundai County</v>
      </c>
      <c r="E913" s="36" t="str">
        <f>IF(ISNA(VLOOKUP(Tableau13[[#This Row],[Code]],'Code Véhicule'!$A$4:$D$185,4,0))," ",VLOOKUP(Tableau13[[#This Row],[Code]],'Code Véhicule'!$A$4:$D$185,4,0))</f>
        <v>22772-A-73</v>
      </c>
      <c r="F913" s="36">
        <v>26074</v>
      </c>
      <c r="G913" s="38" t="s">
        <v>545</v>
      </c>
      <c r="H913" s="38" t="s">
        <v>620</v>
      </c>
      <c r="I913" s="36" t="s">
        <v>304</v>
      </c>
      <c r="J913" s="39" t="s">
        <v>1706</v>
      </c>
      <c r="K913" s="36">
        <v>177662</v>
      </c>
      <c r="L913" s="40">
        <v>1140</v>
      </c>
      <c r="M913" s="40">
        <v>1140</v>
      </c>
      <c r="N913" s="41">
        <v>44625</v>
      </c>
      <c r="O913" s="45"/>
      <c r="P913" s="45"/>
      <c r="Q913" s="176" t="e">
        <f>MONTH([1]!Tableau13[[#This Row],[Date début]])</f>
        <v>#REF!</v>
      </c>
      <c r="R913" s="180" t="e">
        <f>YEAR([1]!Tableau13[[#This Row],[Date début]])</f>
        <v>#REF!</v>
      </c>
      <c r="S913" s="44"/>
      <c r="T913" s="44"/>
    </row>
    <row r="914" spans="1:20" s="75" customFormat="1" ht="30">
      <c r="A914" s="35">
        <v>44622</v>
      </c>
      <c r="B914" s="36">
        <v>439</v>
      </c>
      <c r="C914" s="37" t="str">
        <f>IF(ISNA(VLOOKUP(Tableau13[[#This Row],[Code]],'Code Véhicule'!$A$4:$C$185,2,0)),"",VLOOKUP(Tableau13[[#This Row],[Code]],'Code Véhicule'!$A$4:$C$185,2,0))</f>
        <v>Semi remorque</v>
      </c>
      <c r="D914" s="38" t="str">
        <f>IF(ISNA(VLOOKUP(Tableau13[[#This Row],[Code]],'Code Véhicule'!$A$4:$C$185,3,0)),"",VLOOKUP(Tableau13[[#This Row],[Code]],'Code Véhicule'!$A$4:$C$185,3,0))</f>
        <v>VOLVO</v>
      </c>
      <c r="E914" s="36" t="str">
        <f>IF(ISNA(VLOOKUP(Tableau13[[#This Row],[Code]],'Code Véhicule'!$A$4:$D$185,4,0))," ",VLOOKUP(Tableau13[[#This Row],[Code]],'Code Véhicule'!$A$4:$D$185,4,0))</f>
        <v xml:space="preserve">17886-A-73 </v>
      </c>
      <c r="F914" s="36">
        <v>26081</v>
      </c>
      <c r="G914" s="38" t="s">
        <v>511</v>
      </c>
      <c r="H914" s="38" t="s">
        <v>672</v>
      </c>
      <c r="I914" s="36" t="s">
        <v>304</v>
      </c>
      <c r="J914" s="39" t="s">
        <v>1725</v>
      </c>
      <c r="K914" s="36">
        <v>177667</v>
      </c>
      <c r="L914" s="40">
        <v>180</v>
      </c>
      <c r="M914" s="40">
        <v>180</v>
      </c>
      <c r="N914" s="41">
        <v>44622</v>
      </c>
      <c r="O914" s="45"/>
      <c r="P914" s="45"/>
      <c r="Q914" s="176" t="e">
        <f>MONTH([1]!Tableau13[[#This Row],[Date début]])</f>
        <v>#REF!</v>
      </c>
      <c r="R914" s="180" t="e">
        <f>YEAR([1]!Tableau13[[#This Row],[Date début]])</f>
        <v>#REF!</v>
      </c>
      <c r="S914" s="44"/>
      <c r="T914" s="44"/>
    </row>
    <row r="915" spans="1:20" s="75" customFormat="1" ht="60">
      <c r="A915" s="35">
        <v>44623</v>
      </c>
      <c r="B915" s="36">
        <v>410</v>
      </c>
      <c r="C915" s="37" t="str">
        <f>IF(ISNA(VLOOKUP(Tableau13[[#This Row],[Code]],'Code Véhicule'!$A$4:$C$185,2,0)),"",VLOOKUP(Tableau13[[#This Row],[Code]],'Code Véhicule'!$A$4:$C$185,2,0))</f>
        <v>Semi remorque</v>
      </c>
      <c r="D915" s="38" t="str">
        <f>IF(ISNA(VLOOKUP(Tableau13[[#This Row],[Code]],'Code Véhicule'!$A$4:$C$185,3,0)),"",VLOOKUP(Tableau13[[#This Row],[Code]],'Code Véhicule'!$A$4:$C$185,3,0))</f>
        <v>MAN</v>
      </c>
      <c r="E915" s="36" t="str">
        <f>IF(ISNA(VLOOKUP(Tableau13[[#This Row],[Code]],'Code Véhicule'!$A$4:$D$185,4,0))," ",VLOOKUP(Tableau13[[#This Row],[Code]],'Code Véhicule'!$A$4:$D$185,4,0))</f>
        <v xml:space="preserve">28659-D-1 </v>
      </c>
      <c r="F915" s="36">
        <v>26072</v>
      </c>
      <c r="G915" s="38" t="s">
        <v>1699</v>
      </c>
      <c r="H915" s="38" t="s">
        <v>1700</v>
      </c>
      <c r="I915" s="36" t="s">
        <v>304</v>
      </c>
      <c r="J915" s="39" t="s">
        <v>1701</v>
      </c>
      <c r="K915" s="36" t="s">
        <v>1702</v>
      </c>
      <c r="L915" s="40">
        <f>570*3</f>
        <v>1710</v>
      </c>
      <c r="M915" s="40">
        <v>1710</v>
      </c>
      <c r="N915" s="41">
        <v>44625</v>
      </c>
      <c r="O915" s="45"/>
      <c r="P915" s="45"/>
      <c r="Q915" s="176" t="e">
        <f>MONTH([1]!Tableau13[[#This Row],[Date début]])</f>
        <v>#REF!</v>
      </c>
      <c r="R915" s="180" t="e">
        <f>YEAR([1]!Tableau13[[#This Row],[Date début]])</f>
        <v>#REF!</v>
      </c>
      <c r="S915" s="44"/>
      <c r="T915" s="44"/>
    </row>
    <row r="916" spans="1:20" s="75" customFormat="1" ht="30">
      <c r="A916" s="35">
        <v>44624</v>
      </c>
      <c r="B916" s="36">
        <v>436</v>
      </c>
      <c r="C916" s="37" t="str">
        <f>IF(ISNA(VLOOKUP(Tableau13[[#This Row],[Code]],'Code Véhicule'!$A$4:$C$185,2,0)),"",VLOOKUP(Tableau13[[#This Row],[Code]],'Code Véhicule'!$A$4:$C$185,2,0))</f>
        <v>Camion</v>
      </c>
      <c r="D916" s="38" t="str">
        <f>IF(ISNA(VLOOKUP(Tableau13[[#This Row],[Code]],'Code Véhicule'!$A$4:$C$185,3,0)),"",VLOOKUP(Tableau13[[#This Row],[Code]],'Code Véhicule'!$A$4:$C$185,3,0))</f>
        <v>Mitsubishi</v>
      </c>
      <c r="E916" s="36" t="str">
        <f>IF(ISNA(VLOOKUP(Tableau13[[#This Row],[Code]],'Code Véhicule'!$A$4:$D$185,4,0))," ",VLOOKUP(Tableau13[[#This Row],[Code]],'Code Véhicule'!$A$4:$D$185,4,0))</f>
        <v>11470-A-73</v>
      </c>
      <c r="F916" s="36">
        <v>26080</v>
      </c>
      <c r="G916" s="38" t="s">
        <v>1478</v>
      </c>
      <c r="H916" s="38" t="s">
        <v>1324</v>
      </c>
      <c r="I916" s="36" t="s">
        <v>304</v>
      </c>
      <c r="J916" s="39" t="s">
        <v>1714</v>
      </c>
      <c r="K916" s="36">
        <v>177665</v>
      </c>
      <c r="L916" s="40">
        <v>570</v>
      </c>
      <c r="M916" s="40">
        <v>570</v>
      </c>
      <c r="N916" s="41">
        <v>44624</v>
      </c>
      <c r="O916" s="45"/>
      <c r="P916" s="45"/>
      <c r="Q916" s="176" t="e">
        <f>MONTH([1]!Tableau13[[#This Row],[Date début]])</f>
        <v>#REF!</v>
      </c>
      <c r="R916" s="180" t="e">
        <f>YEAR([1]!Tableau13[[#This Row],[Date début]])</f>
        <v>#REF!</v>
      </c>
      <c r="S916" s="44"/>
      <c r="T916" s="44"/>
    </row>
    <row r="917" spans="1:20" s="75" customFormat="1" ht="23.25">
      <c r="A917" s="91">
        <v>44624</v>
      </c>
      <c r="B917" s="92">
        <v>436</v>
      </c>
      <c r="C917" s="93" t="str">
        <f>IF(ISNA(VLOOKUP(Tableau13[[#This Row],[Code]],'Code Véhicule'!$A$4:$C$185,2,0)),"",VLOOKUP(Tableau13[[#This Row],[Code]],'Code Véhicule'!$A$4:$C$185,2,0))</f>
        <v>Camion</v>
      </c>
      <c r="D917" s="94" t="str">
        <f>IF(ISNA(VLOOKUP(Tableau13[[#This Row],[Code]],'Code Véhicule'!$A$4:$C$185,3,0)),"",VLOOKUP(Tableau13[[#This Row],[Code]],'Code Véhicule'!$A$4:$C$185,3,0))</f>
        <v>Mitsubishi</v>
      </c>
      <c r="E917" s="92" t="str">
        <f>IF(ISNA(VLOOKUP(Tableau13[[#This Row],[Code]],'Code Véhicule'!$A$4:$D$185,4,0))," ",VLOOKUP(Tableau13[[#This Row],[Code]],'Code Véhicule'!$A$4:$D$185,4,0))</f>
        <v>11470-A-73</v>
      </c>
      <c r="F917" s="92">
        <v>26910</v>
      </c>
      <c r="G917" s="94" t="s">
        <v>1323</v>
      </c>
      <c r="H917" s="94" t="s">
        <v>1324</v>
      </c>
      <c r="I917" s="92" t="s">
        <v>304</v>
      </c>
      <c r="J917" s="95" t="s">
        <v>1756</v>
      </c>
      <c r="K917" s="92">
        <v>178339</v>
      </c>
      <c r="L917" s="96">
        <v>570</v>
      </c>
      <c r="M917" s="96">
        <v>570</v>
      </c>
      <c r="N917" s="97">
        <v>44624</v>
      </c>
      <c r="O917" s="98"/>
      <c r="P917" s="98"/>
      <c r="Q917" s="177" t="e">
        <f>MONTH([1]!Tableau13[[#This Row],[Date début]])</f>
        <v>#REF!</v>
      </c>
      <c r="R917" s="181" t="e">
        <f>YEAR([1]!Tableau13[[#This Row],[Date début]])</f>
        <v>#REF!</v>
      </c>
      <c r="S917" s="44"/>
      <c r="T917" s="44"/>
    </row>
    <row r="918" spans="1:20" s="75" customFormat="1" ht="30">
      <c r="A918" s="35">
        <v>44625</v>
      </c>
      <c r="B918" s="36">
        <v>403</v>
      </c>
      <c r="C918" s="37" t="str">
        <f>IF(ISNA(VLOOKUP(Tableau13[[#This Row],[Code]],'Code Véhicule'!$A$4:$C$185,2,0)),"",VLOOKUP(Tableau13[[#This Row],[Code]],'Code Véhicule'!$A$4:$C$185,2,0))</f>
        <v>Camion</v>
      </c>
      <c r="D918" s="38" t="str">
        <f>IF(ISNA(VLOOKUP(Tableau13[[#This Row],[Code]],'Code Véhicule'!$A$4:$C$185,3,0)),"",VLOOKUP(Tableau13[[#This Row],[Code]],'Code Véhicule'!$A$4:$C$185,3,0))</f>
        <v>MAN</v>
      </c>
      <c r="E918" s="36" t="str">
        <f>IF(ISNA(VLOOKUP(Tableau13[[#This Row],[Code]],'Code Véhicule'!$A$4:$D$185,4,0))," ",VLOOKUP(Tableau13[[#This Row],[Code]],'Code Véhicule'!$A$4:$D$185,4,0))</f>
        <v>4790-B-8</v>
      </c>
      <c r="F918" s="36">
        <v>26075</v>
      </c>
      <c r="G918" s="38" t="s">
        <v>610</v>
      </c>
      <c r="H918" s="38" t="s">
        <v>1643</v>
      </c>
      <c r="I918" s="36" t="s">
        <v>304</v>
      </c>
      <c r="J918" s="39" t="s">
        <v>1707</v>
      </c>
      <c r="K918" s="36" t="s">
        <v>1708</v>
      </c>
      <c r="L918" s="40">
        <v>570</v>
      </c>
      <c r="M918" s="40">
        <v>570</v>
      </c>
      <c r="N918" s="41">
        <v>44627</v>
      </c>
      <c r="O918" s="45"/>
      <c r="P918" s="45"/>
      <c r="Q918" s="176" t="e">
        <f>MONTH([1]!Tableau13[[#This Row],[Date début]])</f>
        <v>#REF!</v>
      </c>
      <c r="R918" s="180" t="e">
        <f>YEAR([1]!Tableau13[[#This Row],[Date début]])</f>
        <v>#REF!</v>
      </c>
      <c r="S918" s="44"/>
      <c r="T918" s="44"/>
    </row>
    <row r="919" spans="1:20" s="75" customFormat="1" ht="45">
      <c r="A919" s="35">
        <v>44626</v>
      </c>
      <c r="B919" s="36">
        <v>471</v>
      </c>
      <c r="C919" s="37" t="str">
        <f>IF(ISNA(VLOOKUP(Tableau13[[#This Row],[Code]],'Code Véhicule'!$A$4:$C$185,2,0)),"",VLOOKUP(Tableau13[[#This Row],[Code]],'Code Véhicule'!$A$4:$C$185,2,0))</f>
        <v>Bus de transport</v>
      </c>
      <c r="D919" s="38" t="str">
        <f>IF(ISNA(VLOOKUP(Tableau13[[#This Row],[Code]],'Code Véhicule'!$A$4:$C$185,3,0)),"",VLOOKUP(Tableau13[[#This Row],[Code]],'Code Véhicule'!$A$4:$C$185,3,0))</f>
        <v xml:space="preserve">Hyundai County </v>
      </c>
      <c r="E919" s="36" t="str">
        <f>IF(ISNA(VLOOKUP(Tableau13[[#This Row],[Code]],'Code Véhicule'!$A$4:$D$185,4,0))," ",VLOOKUP(Tableau13[[#This Row],[Code]],'Code Véhicule'!$A$4:$D$185,4,0))</f>
        <v>18516-A-73</v>
      </c>
      <c r="F919" s="36">
        <v>26076</v>
      </c>
      <c r="G919" s="38" t="s">
        <v>313</v>
      </c>
      <c r="H919" s="38" t="s">
        <v>1709</v>
      </c>
      <c r="I919" s="36" t="s">
        <v>304</v>
      </c>
      <c r="J919" s="39" t="s">
        <v>1710</v>
      </c>
      <c r="K919" s="36" t="s">
        <v>1711</v>
      </c>
      <c r="L919" s="40">
        <v>1710</v>
      </c>
      <c r="M919" s="40">
        <v>2280</v>
      </c>
      <c r="N919" s="41">
        <v>44630</v>
      </c>
      <c r="O919" s="45"/>
      <c r="P919" s="45"/>
      <c r="Q919" s="176" t="e">
        <f>MONTH([1]!Tableau13[[#This Row],[Date début]])</f>
        <v>#REF!</v>
      </c>
      <c r="R919" s="180" t="e">
        <f>YEAR([1]!Tableau13[[#This Row],[Date début]])</f>
        <v>#REF!</v>
      </c>
      <c r="S919" s="44"/>
      <c r="T919" s="44"/>
    </row>
    <row r="920" spans="1:20" s="75" customFormat="1" ht="30">
      <c r="A920" s="35">
        <v>44626</v>
      </c>
      <c r="B920" s="36">
        <v>403</v>
      </c>
      <c r="C920" s="37" t="str">
        <f>IF(ISNA(VLOOKUP(Tableau13[[#This Row],[Code]],'Code Véhicule'!$A$4:$C$185,2,0)),"",VLOOKUP(Tableau13[[#This Row],[Code]],'Code Véhicule'!$A$4:$C$185,2,0))</f>
        <v>Camion</v>
      </c>
      <c r="D920" s="38" t="str">
        <f>IF(ISNA(VLOOKUP(Tableau13[[#This Row],[Code]],'Code Véhicule'!$A$4:$C$185,3,0)),"",VLOOKUP(Tableau13[[#This Row],[Code]],'Code Véhicule'!$A$4:$C$185,3,0))</f>
        <v>MAN</v>
      </c>
      <c r="E920" s="36" t="str">
        <f>IF(ISNA(VLOOKUP(Tableau13[[#This Row],[Code]],'Code Véhicule'!$A$4:$D$185,4,0))," ",VLOOKUP(Tableau13[[#This Row],[Code]],'Code Véhicule'!$A$4:$D$185,4,0))</f>
        <v>4790-B-8</v>
      </c>
      <c r="F920" s="36">
        <v>26087</v>
      </c>
      <c r="G920" s="38" t="s">
        <v>955</v>
      </c>
      <c r="H920" s="38" t="s">
        <v>1732</v>
      </c>
      <c r="I920" s="36" t="s">
        <v>304</v>
      </c>
      <c r="J920" s="39" t="s">
        <v>1733</v>
      </c>
      <c r="K920" s="36"/>
      <c r="L920" s="40">
        <v>1140</v>
      </c>
      <c r="M920" s="40">
        <v>1140</v>
      </c>
      <c r="N920" s="41">
        <v>44640</v>
      </c>
      <c r="O920" s="45"/>
      <c r="P920" s="45"/>
      <c r="Q920" s="176" t="e">
        <f>MONTH([1]!Tableau13[[#This Row],[Date début]])</f>
        <v>#REF!</v>
      </c>
      <c r="R920" s="180" t="e">
        <f>YEAR([1]!Tableau13[[#This Row],[Date début]])</f>
        <v>#REF!</v>
      </c>
      <c r="S920" s="44"/>
      <c r="T920" s="44"/>
    </row>
    <row r="921" spans="1:20" s="75" customFormat="1" ht="45">
      <c r="A921" s="35">
        <v>44628</v>
      </c>
      <c r="B921" s="36">
        <v>479</v>
      </c>
      <c r="C921" s="37" t="str">
        <f>IF(ISNA(VLOOKUP(Tableau13[[#This Row],[Code]],'Code Véhicule'!$A$4:$C$185,2,0)),"",VLOOKUP(Tableau13[[#This Row],[Code]],'Code Véhicule'!$A$4:$C$185,2,0))</f>
        <v>Bus de transport</v>
      </c>
      <c r="D921" s="38" t="str">
        <f>IF(ISNA(VLOOKUP(Tableau13[[#This Row],[Code]],'Code Véhicule'!$A$4:$C$185,3,0)),"",VLOOKUP(Tableau13[[#This Row],[Code]],'Code Véhicule'!$A$4:$C$185,3,0))</f>
        <v>Hyundai County</v>
      </c>
      <c r="E921" s="36" t="str">
        <f>IF(ISNA(VLOOKUP(Tableau13[[#This Row],[Code]],'Code Véhicule'!$A$4:$D$185,4,0))," ",VLOOKUP(Tableau13[[#This Row],[Code]],'Code Véhicule'!$A$4:$D$185,4,0))</f>
        <v>22772-A-73</v>
      </c>
      <c r="F921" s="36">
        <v>26082</v>
      </c>
      <c r="G921" s="38" t="s">
        <v>393</v>
      </c>
      <c r="H921" s="38" t="s">
        <v>608</v>
      </c>
      <c r="I921" s="36" t="s">
        <v>302</v>
      </c>
      <c r="J921" s="39" t="s">
        <v>1717</v>
      </c>
      <c r="K921" s="36" t="s">
        <v>1726</v>
      </c>
      <c r="L921" s="40">
        <v>120</v>
      </c>
      <c r="M921" s="40">
        <v>120</v>
      </c>
      <c r="N921" s="41">
        <v>44623</v>
      </c>
      <c r="O921" s="45"/>
      <c r="P921" s="45"/>
      <c r="Q921" s="176" t="e">
        <f>MONTH([1]!Tableau13[[#This Row],[Date début]])</f>
        <v>#REF!</v>
      </c>
      <c r="R921" s="180" t="e">
        <f>YEAR([1]!Tableau13[[#This Row],[Date début]])</f>
        <v>#REF!</v>
      </c>
      <c r="S921" s="44"/>
      <c r="T921" s="44"/>
    </row>
    <row r="922" spans="1:20" s="75" customFormat="1" ht="135">
      <c r="A922" s="35">
        <v>44630</v>
      </c>
      <c r="B922" s="36">
        <v>428</v>
      </c>
      <c r="C922" s="37" t="str">
        <f>IF(ISNA(VLOOKUP(Tableau13[[#This Row],[Code]],'Code Véhicule'!$A$4:$C$185,2,0)),"",VLOOKUP(Tableau13[[#This Row],[Code]],'Code Véhicule'!$A$4:$C$185,2,0))</f>
        <v>Chariot elevateur</v>
      </c>
      <c r="D922" s="38" t="str">
        <f>IF(ISNA(VLOOKUP(Tableau13[[#This Row],[Code]],'Code Véhicule'!$A$4:$C$185,3,0)),"",VLOOKUP(Tableau13[[#This Row],[Code]],'Code Véhicule'!$A$4:$C$185,3,0))</f>
        <v>Linde H30</v>
      </c>
      <c r="E922" s="36" t="str">
        <f>IF(ISNA(VLOOKUP(Tableau13[[#This Row],[Code]],'Code Véhicule'!$A$4:$D$185,4,0))," ",VLOOKUP(Tableau13[[#This Row],[Code]],'Code Véhicule'!$A$4:$D$185,4,0))</f>
        <v>-</v>
      </c>
      <c r="F922" s="36">
        <v>24693</v>
      </c>
      <c r="G922" s="38" t="s">
        <v>1146</v>
      </c>
      <c r="H922" s="38" t="s">
        <v>1530</v>
      </c>
      <c r="I922" s="36" t="s">
        <v>304</v>
      </c>
      <c r="J922" s="39" t="s">
        <v>2058</v>
      </c>
      <c r="K922" s="36" t="s">
        <v>1531</v>
      </c>
      <c r="L922" s="40">
        <v>3990</v>
      </c>
      <c r="M922" s="40">
        <v>5700</v>
      </c>
      <c r="N922" s="41">
        <v>44520</v>
      </c>
      <c r="O922" s="45"/>
      <c r="P922" s="45"/>
      <c r="Q922" s="176" t="e">
        <f>MONTH([1]!Tableau13[[#This Row],[Date début]])</f>
        <v>#REF!</v>
      </c>
      <c r="R922" s="180" t="e">
        <f>YEAR([1]!Tableau13[[#This Row],[Date début]])</f>
        <v>#REF!</v>
      </c>
      <c r="S922" s="44"/>
      <c r="T922" s="44"/>
    </row>
    <row r="923" spans="1:20" s="75" customFormat="1" ht="60">
      <c r="A923" s="35">
        <v>44632</v>
      </c>
      <c r="B923" s="36">
        <v>411</v>
      </c>
      <c r="C923" s="37" t="str">
        <f>IF(ISNA(VLOOKUP(Tableau13[[#This Row],[Code]],'Code Véhicule'!$A$4:$C$185,2,0)),"",VLOOKUP(Tableau13[[#This Row],[Code]],'Code Véhicule'!$A$4:$C$185,2,0))</f>
        <v>Camion</v>
      </c>
      <c r="D923" s="38" t="str">
        <f>IF(ISNA(VLOOKUP(Tableau13[[#This Row],[Code]],'Code Véhicule'!$A$4:$C$185,3,0)),"",VLOOKUP(Tableau13[[#This Row],[Code]],'Code Véhicule'!$A$4:$C$185,3,0))</f>
        <v>Renault</v>
      </c>
      <c r="E923" s="36" t="str">
        <f>IF(ISNA(VLOOKUP(Tableau13[[#This Row],[Code]],'Code Véhicule'!$A$4:$D$185,4,0))," ",VLOOKUP(Tableau13[[#This Row],[Code]],'Code Véhicule'!$A$4:$D$185,4,0))</f>
        <v>25636-A-13</v>
      </c>
      <c r="F923" s="36">
        <v>26083</v>
      </c>
      <c r="G923" s="38" t="s">
        <v>393</v>
      </c>
      <c r="H923" s="38" t="s">
        <v>608</v>
      </c>
      <c r="I923" s="36" t="s">
        <v>302</v>
      </c>
      <c r="J923" s="39" t="s">
        <v>1727</v>
      </c>
      <c r="K923" s="36">
        <v>178302</v>
      </c>
      <c r="L923" s="40">
        <v>120</v>
      </c>
      <c r="M923" s="40">
        <v>120</v>
      </c>
      <c r="N923" s="41">
        <v>44632</v>
      </c>
      <c r="O923" s="45"/>
      <c r="P923" s="45"/>
      <c r="Q923" s="176" t="e">
        <f>MONTH([1]!Tableau13[[#This Row],[Date début]])</f>
        <v>#REF!</v>
      </c>
      <c r="R923" s="180" t="e">
        <f>YEAR([1]!Tableau13[[#This Row],[Date début]])</f>
        <v>#REF!</v>
      </c>
      <c r="S923" s="44"/>
      <c r="T923" s="44"/>
    </row>
    <row r="924" spans="1:20" s="75" customFormat="1" ht="23.25">
      <c r="A924" s="35">
        <v>44634</v>
      </c>
      <c r="B924" s="36">
        <v>438</v>
      </c>
      <c r="C924" s="37" t="str">
        <f>IF(ISNA(VLOOKUP(Tableau13[[#This Row],[Code]],'Code Véhicule'!$A$4:$C$185,2,0)),"",VLOOKUP(Tableau13[[#This Row],[Code]],'Code Véhicule'!$A$4:$C$185,2,0))</f>
        <v>Semi remorque</v>
      </c>
      <c r="D924" s="38" t="str">
        <f>IF(ISNA(VLOOKUP(Tableau13[[#This Row],[Code]],'Code Véhicule'!$A$4:$C$185,3,0)),"",VLOOKUP(Tableau13[[#This Row],[Code]],'Code Véhicule'!$A$4:$C$185,3,0))</f>
        <v>VOLVO</v>
      </c>
      <c r="E924" s="36" t="str">
        <f>IF(ISNA(VLOOKUP(Tableau13[[#This Row],[Code]],'Code Véhicule'!$A$4:$D$185,4,0))," ",VLOOKUP(Tableau13[[#This Row],[Code]],'Code Véhicule'!$A$4:$D$185,4,0))</f>
        <v xml:space="preserve">17885-A-73 </v>
      </c>
      <c r="F924" s="36">
        <v>26084</v>
      </c>
      <c r="G924" s="38" t="s">
        <v>560</v>
      </c>
      <c r="H924" s="38" t="s">
        <v>604</v>
      </c>
      <c r="I924" s="36" t="s">
        <v>304</v>
      </c>
      <c r="J924" s="39" t="s">
        <v>383</v>
      </c>
      <c r="K924" s="36">
        <v>178304</v>
      </c>
      <c r="L924" s="40">
        <v>60</v>
      </c>
      <c r="M924" s="40">
        <v>60</v>
      </c>
      <c r="N924" s="41">
        <v>44634</v>
      </c>
      <c r="O924" s="45"/>
      <c r="P924" s="45"/>
      <c r="Q924" s="176" t="e">
        <f>MONTH([1]!Tableau13[[#This Row],[Date début]])</f>
        <v>#REF!</v>
      </c>
      <c r="R924" s="180" t="e">
        <f>YEAR([1]!Tableau13[[#This Row],[Date début]])</f>
        <v>#REF!</v>
      </c>
      <c r="S924" s="44"/>
      <c r="T924" s="44"/>
    </row>
    <row r="925" spans="1:20" s="75" customFormat="1" ht="45">
      <c r="A925" s="35">
        <v>44635</v>
      </c>
      <c r="B925" s="36">
        <v>417</v>
      </c>
      <c r="C925" s="37" t="str">
        <f>IF(ISNA(VLOOKUP(Tableau13[[#This Row],[Code]],'Code Véhicule'!$A$4:$C$185,2,0)),"",VLOOKUP(Tableau13[[#This Row],[Code]],'Code Véhicule'!$A$4:$C$185,2,0))</f>
        <v>Voiture de fonction</v>
      </c>
      <c r="D925" s="38" t="str">
        <f>IF(ISNA(VLOOKUP(Tableau13[[#This Row],[Code]],'Code Véhicule'!$A$4:$C$185,3,0)),"",VLOOKUP(Tableau13[[#This Row],[Code]],'Code Véhicule'!$A$4:$C$185,3,0))</f>
        <v>Berlingo</v>
      </c>
      <c r="E925" s="36" t="str">
        <f>IF(ISNA(VLOOKUP(Tableau13[[#This Row],[Code]],'Code Véhicule'!$A$4:$D$185,4,0))," ",VLOOKUP(Tableau13[[#This Row],[Code]],'Code Véhicule'!$A$4:$D$185,4,0))</f>
        <v>981-A-73</v>
      </c>
      <c r="F925" s="36">
        <v>26085</v>
      </c>
      <c r="G925" s="38" t="s">
        <v>393</v>
      </c>
      <c r="H925" s="38" t="s">
        <v>608</v>
      </c>
      <c r="I925" s="36" t="s">
        <v>302</v>
      </c>
      <c r="J925" s="39" t="s">
        <v>1715</v>
      </c>
      <c r="K925" s="36">
        <v>178310</v>
      </c>
      <c r="L925" s="40">
        <v>60</v>
      </c>
      <c r="M925" s="40">
        <v>60</v>
      </c>
      <c r="N925" s="41">
        <v>44635</v>
      </c>
      <c r="O925" s="45"/>
      <c r="P925" s="45"/>
      <c r="Q925" s="176" t="e">
        <f>MONTH([1]!Tableau13[[#This Row],[Date début]])</f>
        <v>#REF!</v>
      </c>
      <c r="R925" s="180" t="e">
        <f>YEAR([1]!Tableau13[[#This Row],[Date début]])</f>
        <v>#REF!</v>
      </c>
      <c r="S925" s="44"/>
      <c r="T925" s="44"/>
    </row>
    <row r="926" spans="1:20" s="75" customFormat="1" ht="75">
      <c r="A926" s="35">
        <v>44637</v>
      </c>
      <c r="B926" s="36">
        <v>407</v>
      </c>
      <c r="C926" s="37" t="str">
        <f>IF(ISNA(VLOOKUP(Tableau13[[#This Row],[Code]],'Code Véhicule'!$A$4:$C$185,2,0)),"",VLOOKUP(Tableau13[[#This Row],[Code]],'Code Véhicule'!$A$4:$C$185,2,0))</f>
        <v>Semi remorque</v>
      </c>
      <c r="D926" s="38" t="str">
        <f>IF(ISNA(VLOOKUP(Tableau13[[#This Row],[Code]],'Code Véhicule'!$A$4:$C$185,3,0)),"",VLOOKUP(Tableau13[[#This Row],[Code]],'Code Véhicule'!$A$4:$C$185,3,0))</f>
        <v>MAN</v>
      </c>
      <c r="E926" s="36" t="str">
        <f>IF(ISNA(VLOOKUP(Tableau13[[#This Row],[Code]],'Code Véhicule'!$A$4:$D$185,4,0))," ",VLOOKUP(Tableau13[[#This Row],[Code]],'Code Véhicule'!$A$4:$D$185,4,0))</f>
        <v>706-A-73</v>
      </c>
      <c r="F926" s="36">
        <v>26078</v>
      </c>
      <c r="G926" s="38" t="s">
        <v>542</v>
      </c>
      <c r="H926" s="38" t="s">
        <v>1145</v>
      </c>
      <c r="I926" s="36" t="s">
        <v>304</v>
      </c>
      <c r="J926" s="39" t="s">
        <v>1698</v>
      </c>
      <c r="K926" s="36" t="s">
        <v>1729</v>
      </c>
      <c r="L926" s="40">
        <v>3400</v>
      </c>
      <c r="M926" s="40">
        <f>25*570</f>
        <v>14250</v>
      </c>
      <c r="N926" s="41">
        <v>44640</v>
      </c>
      <c r="O926" s="45"/>
      <c r="P926" s="45"/>
      <c r="Q926" s="176" t="e">
        <f>MONTH([1]!Tableau13[[#This Row],[Date début]])</f>
        <v>#REF!</v>
      </c>
      <c r="R926" s="180" t="e">
        <f>YEAR([1]!Tableau13[[#This Row],[Date début]])</f>
        <v>#REF!</v>
      </c>
      <c r="S926" s="44"/>
      <c r="T926" s="44"/>
    </row>
    <row r="927" spans="1:20" s="75" customFormat="1" ht="23.25">
      <c r="A927" s="91">
        <v>44637</v>
      </c>
      <c r="B927" s="92">
        <v>480</v>
      </c>
      <c r="C927" s="93" t="str">
        <f>IF(ISNA(VLOOKUP(Tableau13[[#This Row],[Code]],'Code Véhicule'!$A$4:$C$185,2,0)),"",VLOOKUP(Tableau13[[#This Row],[Code]],'Code Véhicule'!$A$4:$C$185,2,0))</f>
        <v>Camion</v>
      </c>
      <c r="D927" s="94" t="str">
        <f>IF(ISNA(VLOOKUP(Tableau13[[#This Row],[Code]],'Code Véhicule'!$A$4:$C$185,3,0)),"",VLOOKUP(Tableau13[[#This Row],[Code]],'Code Véhicule'!$A$4:$C$185,3,0))</f>
        <v>VOLVO</v>
      </c>
      <c r="E927" s="92" t="str">
        <f>IF(ISNA(VLOOKUP(Tableau13[[#This Row],[Code]],'Code Véhicule'!$A$4:$D$185,4,0))," ",VLOOKUP(Tableau13[[#This Row],[Code]],'Code Véhicule'!$A$4:$D$185,4,0))</f>
        <v>22299-A-73</v>
      </c>
      <c r="F927" s="92">
        <v>26901</v>
      </c>
      <c r="G927" s="94" t="s">
        <v>327</v>
      </c>
      <c r="H927" s="94" t="s">
        <v>1034</v>
      </c>
      <c r="I927" s="92" t="s">
        <v>304</v>
      </c>
      <c r="J927" s="95" t="s">
        <v>1742</v>
      </c>
      <c r="K927" s="92">
        <v>178317</v>
      </c>
      <c r="L927" s="96">
        <v>120</v>
      </c>
      <c r="M927" s="96">
        <v>120</v>
      </c>
      <c r="N927" s="97">
        <v>44637</v>
      </c>
      <c r="O927" s="98"/>
      <c r="P927" s="98"/>
      <c r="Q927" s="177" t="e">
        <f>MONTH([1]!Tableau13[[#This Row],[Date début]])</f>
        <v>#REF!</v>
      </c>
      <c r="R927" s="181" t="e">
        <f>YEAR([1]!Tableau13[[#This Row],[Date début]])</f>
        <v>#REF!</v>
      </c>
      <c r="S927" s="44"/>
      <c r="T927" s="44"/>
    </row>
    <row r="928" spans="1:20" s="75" customFormat="1" ht="30">
      <c r="A928" s="91">
        <v>44637</v>
      </c>
      <c r="B928" s="92">
        <v>438</v>
      </c>
      <c r="C928" s="93" t="str">
        <f>IF(ISNA(VLOOKUP(Tableau13[[#This Row],[Code]],'Code Véhicule'!$A$4:$C$185,2,0)),"",VLOOKUP(Tableau13[[#This Row],[Code]],'Code Véhicule'!$A$4:$C$185,2,0))</f>
        <v>Semi remorque</v>
      </c>
      <c r="D928" s="94" t="str">
        <f>IF(ISNA(VLOOKUP(Tableau13[[#This Row],[Code]],'Code Véhicule'!$A$4:$C$185,3,0)),"",VLOOKUP(Tableau13[[#This Row],[Code]],'Code Véhicule'!$A$4:$C$185,3,0))</f>
        <v>VOLVO</v>
      </c>
      <c r="E928" s="92" t="str">
        <f>IF(ISNA(VLOOKUP(Tableau13[[#This Row],[Code]],'Code Véhicule'!$A$4:$D$185,4,0))," ",VLOOKUP(Tableau13[[#This Row],[Code]],'Code Véhicule'!$A$4:$D$185,4,0))</f>
        <v xml:space="preserve">17885-A-73 </v>
      </c>
      <c r="F928" s="92">
        <v>26902</v>
      </c>
      <c r="G928" s="94" t="s">
        <v>334</v>
      </c>
      <c r="H928" s="94" t="s">
        <v>1743</v>
      </c>
      <c r="I928" s="92" t="s">
        <v>304</v>
      </c>
      <c r="J928" s="95" t="s">
        <v>1744</v>
      </c>
      <c r="K928" s="92" t="s">
        <v>1745</v>
      </c>
      <c r="L928" s="96">
        <v>1140</v>
      </c>
      <c r="M928" s="96">
        <v>1140</v>
      </c>
      <c r="N928" s="97">
        <v>44639</v>
      </c>
      <c r="O928" s="98"/>
      <c r="P928" s="98"/>
      <c r="Q928" s="177" t="e">
        <f>MONTH([1]!Tableau13[[#This Row],[Date début]])</f>
        <v>#REF!</v>
      </c>
      <c r="R928" s="181" t="e">
        <f>YEAR([1]!Tableau13[[#This Row],[Date début]])</f>
        <v>#REF!</v>
      </c>
      <c r="S928" s="44"/>
      <c r="T928" s="44"/>
    </row>
    <row r="929" spans="1:20" s="75" customFormat="1" ht="23.25">
      <c r="A929" s="91">
        <v>44638</v>
      </c>
      <c r="B929" s="92">
        <v>435</v>
      </c>
      <c r="C929" s="93" t="str">
        <f>IF(ISNA(VLOOKUP(Tableau13[[#This Row],[Code]],'Code Véhicule'!$A$4:$C$185,2,0)),"",VLOOKUP(Tableau13[[#This Row],[Code]],'Code Véhicule'!$A$4:$C$185,2,0))</f>
        <v>Camion</v>
      </c>
      <c r="D929" s="94" t="str">
        <f>IF(ISNA(VLOOKUP(Tableau13[[#This Row],[Code]],'Code Véhicule'!$A$4:$C$185,3,0)),"",VLOOKUP(Tableau13[[#This Row],[Code]],'Code Véhicule'!$A$4:$C$185,3,0))</f>
        <v>Mitsubishi</v>
      </c>
      <c r="E929" s="92" t="str">
        <f>IF(ISNA(VLOOKUP(Tableau13[[#This Row],[Code]],'Code Véhicule'!$A$4:$D$185,4,0))," ",VLOOKUP(Tableau13[[#This Row],[Code]],'Code Véhicule'!$A$4:$D$185,4,0))</f>
        <v xml:space="preserve"> 11469-A-73</v>
      </c>
      <c r="F929" s="92">
        <v>26903</v>
      </c>
      <c r="G929" s="94" t="s">
        <v>523</v>
      </c>
      <c r="H929" s="94" t="s">
        <v>914</v>
      </c>
      <c r="I929" s="92" t="s">
        <v>304</v>
      </c>
      <c r="J929" s="95" t="s">
        <v>1312</v>
      </c>
      <c r="K929" s="92">
        <v>178320</v>
      </c>
      <c r="L929" s="96">
        <v>1140</v>
      </c>
      <c r="M929" s="96">
        <v>1140</v>
      </c>
      <c r="N929" s="97">
        <v>44641</v>
      </c>
      <c r="O929" s="98"/>
      <c r="P929" s="98"/>
      <c r="Q929" s="177" t="e">
        <f>MONTH([1]!Tableau13[[#This Row],[Date début]])</f>
        <v>#REF!</v>
      </c>
      <c r="R929" s="181" t="e">
        <f>YEAR([1]!Tableau13[[#This Row],[Date début]])</f>
        <v>#REF!</v>
      </c>
      <c r="S929" s="44"/>
      <c r="T929" s="44"/>
    </row>
    <row r="930" spans="1:20" s="75" customFormat="1" ht="23.25">
      <c r="A930" s="91">
        <v>44638</v>
      </c>
      <c r="B930" s="92">
        <v>471</v>
      </c>
      <c r="C930" s="93" t="str">
        <f>IF(ISNA(VLOOKUP(Tableau13[[#This Row],[Code]],'Code Véhicule'!$A$4:$C$185,2,0)),"",VLOOKUP(Tableau13[[#This Row],[Code]],'Code Véhicule'!$A$4:$C$185,2,0))</f>
        <v>Bus de transport</v>
      </c>
      <c r="D930" s="94" t="str">
        <f>IF(ISNA(VLOOKUP(Tableau13[[#This Row],[Code]],'Code Véhicule'!$A$4:$C$185,3,0)),"",VLOOKUP(Tableau13[[#This Row],[Code]],'Code Véhicule'!$A$4:$C$185,3,0))</f>
        <v xml:space="preserve">Hyundai County </v>
      </c>
      <c r="E930" s="92" t="str">
        <f>IF(ISNA(VLOOKUP(Tableau13[[#This Row],[Code]],'Code Véhicule'!$A$4:$D$185,4,0))," ",VLOOKUP(Tableau13[[#This Row],[Code]],'Code Véhicule'!$A$4:$D$185,4,0))</f>
        <v>18516-A-73</v>
      </c>
      <c r="F930" s="92">
        <v>26906</v>
      </c>
      <c r="G930" s="94" t="s">
        <v>545</v>
      </c>
      <c r="H930" s="94" t="s">
        <v>1750</v>
      </c>
      <c r="I930" s="92" t="s">
        <v>304</v>
      </c>
      <c r="J930" s="95" t="s">
        <v>1751</v>
      </c>
      <c r="K930" s="92">
        <v>178331</v>
      </c>
      <c r="L930" s="96">
        <v>180</v>
      </c>
      <c r="M930" s="96">
        <v>180</v>
      </c>
      <c r="N930" s="97">
        <v>44638</v>
      </c>
      <c r="O930" s="98"/>
      <c r="P930" s="98"/>
      <c r="Q930" s="177" t="e">
        <f>MONTH([1]!Tableau13[[#This Row],[Date début]])</f>
        <v>#REF!</v>
      </c>
      <c r="R930" s="181" t="e">
        <f>YEAR([1]!Tableau13[[#This Row],[Date début]])</f>
        <v>#REF!</v>
      </c>
      <c r="S930" s="44"/>
      <c r="T930" s="44"/>
    </row>
    <row r="931" spans="1:20" s="75" customFormat="1" ht="23.25">
      <c r="A931" s="91">
        <v>44638</v>
      </c>
      <c r="B931" s="92">
        <v>419</v>
      </c>
      <c r="C931" s="93" t="str">
        <f>IF(ISNA(VLOOKUP(Tableau13[[#This Row],[Code]],'Code Véhicule'!$A$4:$C$185,2,0)),"",VLOOKUP(Tableau13[[#This Row],[Code]],'Code Véhicule'!$A$4:$C$185,2,0))</f>
        <v>Voiture de fonction</v>
      </c>
      <c r="D931" s="94" t="str">
        <f>IF(ISNA(VLOOKUP(Tableau13[[#This Row],[Code]],'Code Véhicule'!$A$4:$C$185,3,0)),"",VLOOKUP(Tableau13[[#This Row],[Code]],'Code Véhicule'!$A$4:$C$185,3,0))</f>
        <v>kangoo</v>
      </c>
      <c r="E931" s="92" t="str">
        <f>IF(ISNA(VLOOKUP(Tableau13[[#This Row],[Code]],'Code Véhicule'!$A$4:$D$185,4,0))," ",VLOOKUP(Tableau13[[#This Row],[Code]],'Code Véhicule'!$A$4:$D$185,4,0))</f>
        <v>4812-A-73</v>
      </c>
      <c r="F931" s="92">
        <v>26907</v>
      </c>
      <c r="G931" s="94" t="s">
        <v>545</v>
      </c>
      <c r="H931" s="94" t="s">
        <v>1752</v>
      </c>
      <c r="I931" s="92" t="s">
        <v>304</v>
      </c>
      <c r="J931" s="95" t="s">
        <v>1753</v>
      </c>
      <c r="K931" s="92">
        <v>178332</v>
      </c>
      <c r="L931" s="96">
        <v>240</v>
      </c>
      <c r="M931" s="96">
        <v>240</v>
      </c>
      <c r="N931" s="97">
        <v>44638</v>
      </c>
      <c r="O931" s="98"/>
      <c r="P931" s="98"/>
      <c r="Q931" s="177" t="e">
        <f>MONTH([1]!Tableau13[[#This Row],[Date début]])</f>
        <v>#REF!</v>
      </c>
      <c r="R931" s="181" t="e">
        <f>YEAR([1]!Tableau13[[#This Row],[Date début]])</f>
        <v>#REF!</v>
      </c>
      <c r="S931" s="44"/>
      <c r="T931" s="44"/>
    </row>
    <row r="932" spans="1:20" s="75" customFormat="1" ht="60">
      <c r="A932" s="91">
        <v>44639</v>
      </c>
      <c r="B932" s="92">
        <v>480</v>
      </c>
      <c r="C932" s="93" t="str">
        <f>IF(ISNA(VLOOKUP(Tableau13[[#This Row],[Code]],'Code Véhicule'!$A$4:$C$185,2,0)),"",VLOOKUP(Tableau13[[#This Row],[Code]],'Code Véhicule'!$A$4:$C$185,2,0))</f>
        <v>Camion</v>
      </c>
      <c r="D932" s="94" t="str">
        <f>IF(ISNA(VLOOKUP(Tableau13[[#This Row],[Code]],'Code Véhicule'!$A$4:$C$185,3,0)),"",VLOOKUP(Tableau13[[#This Row],[Code]],'Code Véhicule'!$A$4:$C$185,3,0))</f>
        <v>VOLVO</v>
      </c>
      <c r="E932" s="92" t="str">
        <f>IF(ISNA(VLOOKUP(Tableau13[[#This Row],[Code]],'Code Véhicule'!$A$4:$D$185,4,0))," ",VLOOKUP(Tableau13[[#This Row],[Code]],'Code Véhicule'!$A$4:$D$185,4,0))</f>
        <v>22299-A-73</v>
      </c>
      <c r="F932" s="92">
        <v>26908</v>
      </c>
      <c r="G932" s="94" t="s">
        <v>393</v>
      </c>
      <c r="H932" s="94" t="s">
        <v>608</v>
      </c>
      <c r="I932" s="92" t="s">
        <v>302</v>
      </c>
      <c r="J932" s="39" t="s">
        <v>1754</v>
      </c>
      <c r="K932" s="92">
        <v>178337</v>
      </c>
      <c r="L932" s="96">
        <v>570</v>
      </c>
      <c r="M932" s="96">
        <v>570</v>
      </c>
      <c r="N932" s="97">
        <v>44639</v>
      </c>
      <c r="O932" s="98"/>
      <c r="P932" s="98"/>
      <c r="Q932" s="177" t="e">
        <f>MONTH([1]!Tableau13[[#This Row],[Date début]])</f>
        <v>#REF!</v>
      </c>
      <c r="R932" s="181" t="e">
        <f>YEAR([1]!Tableau13[[#This Row],[Date début]])</f>
        <v>#REF!</v>
      </c>
      <c r="S932" s="44"/>
      <c r="T932" s="44"/>
    </row>
    <row r="933" spans="1:20" s="75" customFormat="1" ht="75">
      <c r="A933" s="91">
        <v>44639</v>
      </c>
      <c r="B933" s="92">
        <v>471</v>
      </c>
      <c r="C933" s="93" t="str">
        <f>IF(ISNA(VLOOKUP(Tableau13[[#This Row],[Code]],'Code Véhicule'!$A$4:$C$185,2,0)),"",VLOOKUP(Tableau13[[#This Row],[Code]],'Code Véhicule'!$A$4:$C$185,2,0))</f>
        <v>Bus de transport</v>
      </c>
      <c r="D933" s="94" t="str">
        <f>IF(ISNA(VLOOKUP(Tableau13[[#This Row],[Code]],'Code Véhicule'!$A$4:$C$185,3,0)),"",VLOOKUP(Tableau13[[#This Row],[Code]],'Code Véhicule'!$A$4:$C$185,3,0))</f>
        <v xml:space="preserve">Hyundai County </v>
      </c>
      <c r="E933" s="92" t="str">
        <f>IF(ISNA(VLOOKUP(Tableau13[[#This Row],[Code]],'Code Véhicule'!$A$4:$D$185,4,0))," ",VLOOKUP(Tableau13[[#This Row],[Code]],'Code Véhicule'!$A$4:$D$185,4,0))</f>
        <v>18516-A-73</v>
      </c>
      <c r="F933" s="92">
        <v>26909</v>
      </c>
      <c r="G933" s="94" t="s">
        <v>313</v>
      </c>
      <c r="H933" s="94" t="s">
        <v>846</v>
      </c>
      <c r="I933" s="92" t="s">
        <v>304</v>
      </c>
      <c r="J933" s="95" t="s">
        <v>1755</v>
      </c>
      <c r="K933" s="92">
        <v>178338</v>
      </c>
      <c r="L933" s="96">
        <v>1140</v>
      </c>
      <c r="M933" s="96">
        <v>1140</v>
      </c>
      <c r="N933" s="97">
        <v>44642</v>
      </c>
      <c r="O933" s="98"/>
      <c r="P933" s="98"/>
      <c r="Q933" s="177" t="e">
        <f>MONTH([1]!Tableau13[[#This Row],[Date début]])</f>
        <v>#REF!</v>
      </c>
      <c r="R933" s="181" t="e">
        <f>YEAR([1]!Tableau13[[#This Row],[Date début]])</f>
        <v>#REF!</v>
      </c>
      <c r="S933" s="44"/>
      <c r="T933" s="44"/>
    </row>
    <row r="934" spans="1:20" s="75" customFormat="1" ht="30">
      <c r="A934" s="35">
        <v>44640</v>
      </c>
      <c r="B934" s="36">
        <v>420</v>
      </c>
      <c r="C934" s="37" t="str">
        <f>IF(ISNA(VLOOKUP(Tableau13[[#This Row],[Code]],'Code Véhicule'!$A$4:$C$185,2,0)),"",VLOOKUP(Tableau13[[#This Row],[Code]],'Code Véhicule'!$A$4:$C$185,2,0))</f>
        <v>Chariot elevateur</v>
      </c>
      <c r="D934" s="38" t="str">
        <f>IF(ISNA(VLOOKUP(Tableau13[[#This Row],[Code]],'Code Véhicule'!$A$4:$C$185,3,0)),"",VLOOKUP(Tableau13[[#This Row],[Code]],'Code Véhicule'!$A$4:$C$185,3,0))</f>
        <v>linde h 45</v>
      </c>
      <c r="E934" s="36">
        <f>IF(ISNA(VLOOKUP(Tableau13[[#This Row],[Code]],'Code Véhicule'!$A$4:$D$185,4,0))," ",VLOOKUP(Tableau13[[#This Row],[Code]],'Code Véhicule'!$A$4:$D$185,4,0))</f>
        <v>0</v>
      </c>
      <c r="F934" s="36">
        <v>26086</v>
      </c>
      <c r="G934" s="38" t="s">
        <v>1193</v>
      </c>
      <c r="H934" s="38" t="s">
        <v>1337</v>
      </c>
      <c r="I934" s="36" t="s">
        <v>304</v>
      </c>
      <c r="J934" s="39" t="s">
        <v>1730</v>
      </c>
      <c r="K934" s="36" t="s">
        <v>1731</v>
      </c>
      <c r="L934" s="40">
        <v>1002</v>
      </c>
      <c r="M934" s="40">
        <v>1002</v>
      </c>
      <c r="N934" s="41">
        <v>44640</v>
      </c>
      <c r="O934" s="45"/>
      <c r="P934" s="45"/>
      <c r="Q934" s="176" t="e">
        <f>MONTH([1]!Tableau13[[#This Row],[Date début]])</f>
        <v>#REF!</v>
      </c>
      <c r="R934" s="180" t="e">
        <f>YEAR([1]!Tableau13[[#This Row],[Date début]])</f>
        <v>#REF!</v>
      </c>
      <c r="S934" s="44"/>
      <c r="T934" s="44"/>
    </row>
    <row r="935" spans="1:20" s="75" customFormat="1" ht="23.25">
      <c r="A935" s="91">
        <v>44641</v>
      </c>
      <c r="B935" s="92">
        <v>406</v>
      </c>
      <c r="C935" s="93" t="str">
        <f>IF(ISNA(VLOOKUP(Tableau13[[#This Row],[Code]],'Code Véhicule'!$A$4:$C$185,2,0)),"",VLOOKUP(Tableau13[[#This Row],[Code]],'Code Véhicule'!$A$4:$C$185,2,0))</f>
        <v>Semi remorque</v>
      </c>
      <c r="D935" s="94" t="str">
        <f>IF(ISNA(VLOOKUP(Tableau13[[#This Row],[Code]],'Code Véhicule'!$A$4:$C$185,3,0)),"",VLOOKUP(Tableau13[[#This Row],[Code]],'Code Véhicule'!$A$4:$C$185,3,0))</f>
        <v>VOLVO</v>
      </c>
      <c r="E935" s="92" t="str">
        <f>IF(ISNA(VLOOKUP(Tableau13[[#This Row],[Code]],'Code Véhicule'!$A$4:$D$185,4,0))," ",VLOOKUP(Tableau13[[#This Row],[Code]],'Code Véhicule'!$A$4:$D$185,4,0))</f>
        <v>70352-A-6</v>
      </c>
      <c r="F935" s="92">
        <v>26911</v>
      </c>
      <c r="G935" s="94" t="s">
        <v>523</v>
      </c>
      <c r="H935" s="94" t="s">
        <v>1757</v>
      </c>
      <c r="I935" s="92" t="s">
        <v>304</v>
      </c>
      <c r="J935" s="95" t="s">
        <v>1758</v>
      </c>
      <c r="K935" s="92">
        <v>178344</v>
      </c>
      <c r="L935" s="96">
        <v>570</v>
      </c>
      <c r="M935" s="96">
        <v>570</v>
      </c>
      <c r="N935" s="97">
        <v>44641</v>
      </c>
      <c r="O935" s="98"/>
      <c r="P935" s="98"/>
      <c r="Q935" s="177" t="e">
        <f>MONTH([1]!Tableau13[[#This Row],[Date début]])</f>
        <v>#REF!</v>
      </c>
      <c r="R935" s="181" t="e">
        <f>YEAR([1]!Tableau13[[#This Row],[Date début]])</f>
        <v>#REF!</v>
      </c>
      <c r="S935" s="44"/>
      <c r="T935" s="44"/>
    </row>
    <row r="936" spans="1:20" s="75" customFormat="1" ht="30">
      <c r="A936" s="91">
        <v>44641</v>
      </c>
      <c r="B936" s="92">
        <v>407</v>
      </c>
      <c r="C936" s="93" t="str">
        <f>IF(ISNA(VLOOKUP(Tableau13[[#This Row],[Code]],'Code Véhicule'!$A$4:$C$185,2,0)),"",VLOOKUP(Tableau13[[#This Row],[Code]],'Code Véhicule'!$A$4:$C$185,2,0))</f>
        <v>Semi remorque</v>
      </c>
      <c r="D936" s="94" t="str">
        <f>IF(ISNA(VLOOKUP(Tableau13[[#This Row],[Code]],'Code Véhicule'!$A$4:$C$185,3,0)),"",VLOOKUP(Tableau13[[#This Row],[Code]],'Code Véhicule'!$A$4:$C$185,3,0))</f>
        <v>MAN</v>
      </c>
      <c r="E936" s="92" t="str">
        <f>IF(ISNA(VLOOKUP(Tableau13[[#This Row],[Code]],'Code Véhicule'!$A$4:$D$185,4,0))," ",VLOOKUP(Tableau13[[#This Row],[Code]],'Code Véhicule'!$A$4:$D$185,4,0))</f>
        <v>706-A-73</v>
      </c>
      <c r="F936" s="92">
        <v>26912</v>
      </c>
      <c r="G936" s="94" t="s">
        <v>1759</v>
      </c>
      <c r="H936" s="94" t="s">
        <v>1034</v>
      </c>
      <c r="I936" s="92" t="s">
        <v>304</v>
      </c>
      <c r="J936" s="95" t="s">
        <v>1760</v>
      </c>
      <c r="K936" s="92">
        <v>178345</v>
      </c>
      <c r="L936" s="96">
        <v>120</v>
      </c>
      <c r="M936" s="96">
        <v>120</v>
      </c>
      <c r="N936" s="97">
        <v>44641</v>
      </c>
      <c r="O936" s="98"/>
      <c r="P936" s="98"/>
      <c r="Q936" s="177" t="e">
        <f>MONTH([1]!Tableau13[[#This Row],[Date début]])</f>
        <v>#REF!</v>
      </c>
      <c r="R936" s="181" t="e">
        <f>YEAR([1]!Tableau13[[#This Row],[Date début]])</f>
        <v>#REF!</v>
      </c>
      <c r="S936" s="44"/>
      <c r="T936" s="44"/>
    </row>
    <row r="937" spans="1:20" s="75" customFormat="1" ht="30">
      <c r="A937" s="91">
        <v>44641</v>
      </c>
      <c r="B937" s="92">
        <v>403</v>
      </c>
      <c r="C937" s="93" t="str">
        <f>IF(ISNA(VLOOKUP(Tableau13[[#This Row],[Code]],'Code Véhicule'!$A$4:$C$185,2,0)),"",VLOOKUP(Tableau13[[#This Row],[Code]],'Code Véhicule'!$A$4:$C$185,2,0))</f>
        <v>Camion</v>
      </c>
      <c r="D937" s="94" t="str">
        <f>IF(ISNA(VLOOKUP(Tableau13[[#This Row],[Code]],'Code Véhicule'!$A$4:$C$185,3,0)),"",VLOOKUP(Tableau13[[#This Row],[Code]],'Code Véhicule'!$A$4:$C$185,3,0))</f>
        <v>MAN</v>
      </c>
      <c r="E937" s="92" t="str">
        <f>IF(ISNA(VLOOKUP(Tableau13[[#This Row],[Code]],'Code Véhicule'!$A$4:$D$185,4,0))," ",VLOOKUP(Tableau13[[#This Row],[Code]],'Code Véhicule'!$A$4:$D$185,4,0))</f>
        <v>4790-B-8</v>
      </c>
      <c r="F937" s="92">
        <v>26913</v>
      </c>
      <c r="G937" s="94" t="s">
        <v>610</v>
      </c>
      <c r="H937" s="94" t="s">
        <v>625</v>
      </c>
      <c r="I937" s="92" t="s">
        <v>304</v>
      </c>
      <c r="J937" s="95" t="s">
        <v>1761</v>
      </c>
      <c r="K937" s="92">
        <v>178346</v>
      </c>
      <c r="L937" s="96">
        <v>1710</v>
      </c>
      <c r="M937" s="96">
        <v>1710</v>
      </c>
      <c r="N937" s="97">
        <v>44643</v>
      </c>
      <c r="O937" s="98"/>
      <c r="P937" s="98"/>
      <c r="Q937" s="177" t="e">
        <f>MONTH([1]!Tableau13[[#This Row],[Date début]])</f>
        <v>#REF!</v>
      </c>
      <c r="R937" s="181" t="e">
        <f>YEAR([1]!Tableau13[[#This Row],[Date début]])</f>
        <v>#REF!</v>
      </c>
      <c r="S937" s="44"/>
      <c r="T937" s="44"/>
    </row>
    <row r="938" spans="1:20" s="75" customFormat="1" ht="23.25">
      <c r="A938" s="91">
        <v>44641</v>
      </c>
      <c r="B938" s="92">
        <v>408</v>
      </c>
      <c r="C938" s="93" t="str">
        <f>IF(ISNA(VLOOKUP(Tableau13[[#This Row],[Code]],'Code Véhicule'!$A$4:$C$185,2,0)),"",VLOOKUP(Tableau13[[#This Row],[Code]],'Code Véhicule'!$A$4:$C$185,2,0))</f>
        <v>Camion</v>
      </c>
      <c r="D938" s="94" t="str">
        <f>IF(ISNA(VLOOKUP(Tableau13[[#This Row],[Code]],'Code Véhicule'!$A$4:$C$185,3,0)),"",VLOOKUP(Tableau13[[#This Row],[Code]],'Code Véhicule'!$A$4:$C$185,3,0))</f>
        <v>Mitsubishi</v>
      </c>
      <c r="E938" s="92" t="str">
        <f>IF(ISNA(VLOOKUP(Tableau13[[#This Row],[Code]],'Code Véhicule'!$A$4:$D$185,4,0))," ",VLOOKUP(Tableau13[[#This Row],[Code]],'Code Véhicule'!$A$4:$D$185,4,0))</f>
        <v>4703-A-73</v>
      </c>
      <c r="F938" s="92">
        <v>26914</v>
      </c>
      <c r="G938" s="94" t="s">
        <v>537</v>
      </c>
      <c r="H938" s="94" t="s">
        <v>1762</v>
      </c>
      <c r="I938" s="92" t="s">
        <v>304</v>
      </c>
      <c r="J938" s="95" t="s">
        <v>1763</v>
      </c>
      <c r="K938" s="92">
        <v>178347</v>
      </c>
      <c r="L938" s="96">
        <v>120</v>
      </c>
      <c r="M938" s="96">
        <v>120</v>
      </c>
      <c r="N938" s="97">
        <v>44641</v>
      </c>
      <c r="O938" s="98"/>
      <c r="P938" s="98"/>
      <c r="Q938" s="177" t="e">
        <f>MONTH([1]!Tableau13[[#This Row],[Date début]])</f>
        <v>#REF!</v>
      </c>
      <c r="R938" s="181" t="e">
        <f>YEAR([1]!Tableau13[[#This Row],[Date début]])</f>
        <v>#REF!</v>
      </c>
      <c r="S938" s="44"/>
      <c r="T938" s="44"/>
    </row>
    <row r="939" spans="1:20" s="75" customFormat="1" ht="30">
      <c r="A939" s="91">
        <v>44642</v>
      </c>
      <c r="B939" s="92">
        <v>479</v>
      </c>
      <c r="C939" s="93" t="str">
        <f>IF(ISNA(VLOOKUP(Tableau13[[#This Row],[Code]],'Code Véhicule'!$A$4:$C$185,2,0)),"",VLOOKUP(Tableau13[[#This Row],[Code]],'Code Véhicule'!$A$4:$C$185,2,0))</f>
        <v>Bus de transport</v>
      </c>
      <c r="D939" s="94" t="str">
        <f>IF(ISNA(VLOOKUP(Tableau13[[#This Row],[Code]],'Code Véhicule'!$A$4:$C$185,3,0)),"",VLOOKUP(Tableau13[[#This Row],[Code]],'Code Véhicule'!$A$4:$C$185,3,0))</f>
        <v>Hyundai County</v>
      </c>
      <c r="E939" s="92" t="str">
        <f>IF(ISNA(VLOOKUP(Tableau13[[#This Row],[Code]],'Code Véhicule'!$A$4:$D$185,4,0))," ",VLOOKUP(Tableau13[[#This Row],[Code]],'Code Véhicule'!$A$4:$D$185,4,0))</f>
        <v>22772-A-73</v>
      </c>
      <c r="F939" s="92">
        <v>26915</v>
      </c>
      <c r="G939" s="94" t="s">
        <v>353</v>
      </c>
      <c r="H939" s="94" t="s">
        <v>1034</v>
      </c>
      <c r="I939" s="92" t="s">
        <v>304</v>
      </c>
      <c r="J939" s="95" t="s">
        <v>1764</v>
      </c>
      <c r="K939" s="92">
        <v>178350</v>
      </c>
      <c r="L939" s="96">
        <v>120</v>
      </c>
      <c r="M939" s="96">
        <v>120</v>
      </c>
      <c r="N939" s="97">
        <v>44642</v>
      </c>
      <c r="O939" s="98"/>
      <c r="P939" s="98"/>
      <c r="Q939" s="177" t="e">
        <f>MONTH([1]!Tableau13[[#This Row],[Date début]])</f>
        <v>#REF!</v>
      </c>
      <c r="R939" s="181" t="e">
        <f>YEAR([1]!Tableau13[[#This Row],[Date début]])</f>
        <v>#REF!</v>
      </c>
      <c r="S939" s="44"/>
      <c r="T939" s="44"/>
    </row>
    <row r="940" spans="1:20" s="75" customFormat="1" ht="30">
      <c r="A940" s="91">
        <v>44644</v>
      </c>
      <c r="B940" s="92">
        <v>411</v>
      </c>
      <c r="C940" s="93" t="str">
        <f>IF(ISNA(VLOOKUP(Tableau13[[#This Row],[Code]],'Code Véhicule'!$A$4:$C$185,2,0)),"",VLOOKUP(Tableau13[[#This Row],[Code]],'Code Véhicule'!$A$4:$C$185,2,0))</f>
        <v>Camion</v>
      </c>
      <c r="D940" s="94" t="str">
        <f>IF(ISNA(VLOOKUP(Tableau13[[#This Row],[Code]],'Code Véhicule'!$A$4:$C$185,3,0)),"",VLOOKUP(Tableau13[[#This Row],[Code]],'Code Véhicule'!$A$4:$C$185,3,0))</f>
        <v>Renault</v>
      </c>
      <c r="E940" s="92" t="str">
        <f>IF(ISNA(VLOOKUP(Tableau13[[#This Row],[Code]],'Code Véhicule'!$A$4:$D$185,4,0))," ",VLOOKUP(Tableau13[[#This Row],[Code]],'Code Véhicule'!$A$4:$D$185,4,0))</f>
        <v>25636-A-13</v>
      </c>
      <c r="F940" s="92">
        <v>26916</v>
      </c>
      <c r="G940" s="94" t="s">
        <v>353</v>
      </c>
      <c r="H940" s="94" t="s">
        <v>1034</v>
      </c>
      <c r="I940" s="92" t="s">
        <v>304</v>
      </c>
      <c r="J940" s="95" t="s">
        <v>1765</v>
      </c>
      <c r="K940" s="92">
        <v>179606</v>
      </c>
      <c r="L940" s="96">
        <v>120</v>
      </c>
      <c r="M940" s="96">
        <v>120</v>
      </c>
      <c r="N940" s="97">
        <v>44644</v>
      </c>
      <c r="O940" s="98"/>
      <c r="P940" s="98"/>
      <c r="Q940" s="177" t="e">
        <f>MONTH([1]!Tableau13[[#This Row],[Date début]])</f>
        <v>#REF!</v>
      </c>
      <c r="R940" s="181" t="e">
        <f>YEAR([1]!Tableau13[[#This Row],[Date début]])</f>
        <v>#REF!</v>
      </c>
      <c r="S940" s="44"/>
      <c r="T940" s="44"/>
    </row>
    <row r="941" spans="1:20" s="75" customFormat="1" ht="45">
      <c r="A941" s="91">
        <v>44644</v>
      </c>
      <c r="B941" s="92">
        <v>407</v>
      </c>
      <c r="C941" s="93" t="str">
        <f>IF(ISNA(VLOOKUP(Tableau13[[#This Row],[Code]],'Code Véhicule'!$A$4:$C$185,2,0)),"",VLOOKUP(Tableau13[[#This Row],[Code]],'Code Véhicule'!$A$4:$C$185,2,0))</f>
        <v>Semi remorque</v>
      </c>
      <c r="D941" s="94" t="str">
        <f>IF(ISNA(VLOOKUP(Tableau13[[#This Row],[Code]],'Code Véhicule'!$A$4:$C$185,3,0)),"",VLOOKUP(Tableau13[[#This Row],[Code]],'Code Véhicule'!$A$4:$C$185,3,0))</f>
        <v>MAN</v>
      </c>
      <c r="E941" s="92" t="str">
        <f>IF(ISNA(VLOOKUP(Tableau13[[#This Row],[Code]],'Code Véhicule'!$A$4:$D$185,4,0))," ",VLOOKUP(Tableau13[[#This Row],[Code]],'Code Véhicule'!$A$4:$D$185,4,0))</f>
        <v>706-A-73</v>
      </c>
      <c r="F941" s="92">
        <v>26917</v>
      </c>
      <c r="G941" s="94" t="s">
        <v>556</v>
      </c>
      <c r="H941" s="94" t="s">
        <v>608</v>
      </c>
      <c r="I941" s="92" t="s">
        <v>304</v>
      </c>
      <c r="J941" s="39" t="s">
        <v>1766</v>
      </c>
      <c r="K941" s="92">
        <v>179607</v>
      </c>
      <c r="L941" s="96">
        <v>120</v>
      </c>
      <c r="M941" s="96">
        <v>120</v>
      </c>
      <c r="N941" s="97">
        <v>44644</v>
      </c>
      <c r="O941" s="98"/>
      <c r="P941" s="98"/>
      <c r="Q941" s="177" t="e">
        <f>MONTH([1]!Tableau13[[#This Row],[Date début]])</f>
        <v>#REF!</v>
      </c>
      <c r="R941" s="181" t="e">
        <f>YEAR([1]!Tableau13[[#This Row],[Date début]])</f>
        <v>#REF!</v>
      </c>
      <c r="S941" s="44"/>
      <c r="T941" s="44"/>
    </row>
    <row r="942" spans="1:20" s="75" customFormat="1" ht="23.25">
      <c r="A942" s="91">
        <v>44644</v>
      </c>
      <c r="B942" s="92">
        <v>406</v>
      </c>
      <c r="C942" s="93" t="str">
        <f>IF(ISNA(VLOOKUP(Tableau13[[#This Row],[Code]],'Code Véhicule'!$A$4:$C$185,2,0)),"",VLOOKUP(Tableau13[[#This Row],[Code]],'Code Véhicule'!$A$4:$C$185,2,0))</f>
        <v>Semi remorque</v>
      </c>
      <c r="D942" s="94" t="str">
        <f>IF(ISNA(VLOOKUP(Tableau13[[#This Row],[Code]],'Code Véhicule'!$A$4:$C$185,3,0)),"",VLOOKUP(Tableau13[[#This Row],[Code]],'Code Véhicule'!$A$4:$C$185,3,0))</f>
        <v>VOLVO</v>
      </c>
      <c r="E942" s="92" t="str">
        <f>IF(ISNA(VLOOKUP(Tableau13[[#This Row],[Code]],'Code Véhicule'!$A$4:$D$185,4,0))," ",VLOOKUP(Tableau13[[#This Row],[Code]],'Code Véhicule'!$A$4:$D$185,4,0))</f>
        <v>70352-A-6</v>
      </c>
      <c r="F942" s="92">
        <v>26918</v>
      </c>
      <c r="G942" s="94" t="s">
        <v>560</v>
      </c>
      <c r="H942" s="94" t="s">
        <v>604</v>
      </c>
      <c r="I942" s="92" t="s">
        <v>304</v>
      </c>
      <c r="J942" s="95" t="s">
        <v>530</v>
      </c>
      <c r="K942" s="92">
        <v>179608</v>
      </c>
      <c r="L942" s="96">
        <v>240</v>
      </c>
      <c r="M942" s="96">
        <v>240</v>
      </c>
      <c r="N942" s="97">
        <v>44644</v>
      </c>
      <c r="O942" s="98"/>
      <c r="P942" s="98"/>
      <c r="Q942" s="177" t="e">
        <f>MONTH([1]!Tableau13[[#This Row],[Date début]])</f>
        <v>#REF!</v>
      </c>
      <c r="R942" s="181" t="e">
        <f>YEAR([1]!Tableau13[[#This Row],[Date début]])</f>
        <v>#REF!</v>
      </c>
      <c r="S942" s="44"/>
      <c r="T942" s="44"/>
    </row>
    <row r="943" spans="1:20" s="75" customFormat="1" ht="30">
      <c r="A943" s="91">
        <v>44644</v>
      </c>
      <c r="B943" s="92">
        <v>434</v>
      </c>
      <c r="C943" s="93" t="str">
        <f>IF(ISNA(VLOOKUP(Tableau13[[#This Row],[Code]],'Code Véhicule'!$A$4:$C$185,2,0)),"",VLOOKUP(Tableau13[[#This Row],[Code]],'Code Véhicule'!$A$4:$C$185,2,0))</f>
        <v>Chariot elevateur</v>
      </c>
      <c r="D943" s="94" t="str">
        <f>IF(ISNA(VLOOKUP(Tableau13[[#This Row],[Code]],'Code Véhicule'!$A$4:$C$185,3,0)),"",VLOOKUP(Tableau13[[#This Row],[Code]],'Code Véhicule'!$A$4:$C$185,3,0))</f>
        <v>Linde H30D</v>
      </c>
      <c r="E943" s="92" t="str">
        <f>IF(ISNA(VLOOKUP(Tableau13[[#This Row],[Code]],'Code Véhicule'!$A$4:$D$185,4,0))," ",VLOOKUP(Tableau13[[#This Row],[Code]],'Code Véhicule'!$A$4:$D$185,4,0))</f>
        <v>-</v>
      </c>
      <c r="F943" s="92">
        <v>26919</v>
      </c>
      <c r="G943" s="94" t="s">
        <v>556</v>
      </c>
      <c r="H943" s="94" t="s">
        <v>608</v>
      </c>
      <c r="I943" s="92" t="s">
        <v>304</v>
      </c>
      <c r="J943" s="95" t="s">
        <v>1767</v>
      </c>
      <c r="K943" s="92">
        <v>179610</v>
      </c>
      <c r="L943" s="96">
        <v>120</v>
      </c>
      <c r="M943" s="96">
        <v>120</v>
      </c>
      <c r="N943" s="97">
        <v>44644</v>
      </c>
      <c r="O943" s="98"/>
      <c r="P943" s="98"/>
      <c r="Q943" s="177" t="e">
        <f>MONTH([1]!Tableau13[[#This Row],[Date début]])</f>
        <v>#REF!</v>
      </c>
      <c r="R943" s="181" t="e">
        <f>YEAR([1]!Tableau13[[#This Row],[Date début]])</f>
        <v>#REF!</v>
      </c>
      <c r="S943" s="44"/>
      <c r="T943" s="44"/>
    </row>
    <row r="944" spans="1:20" s="75" customFormat="1" ht="45">
      <c r="A944" s="91">
        <v>44645</v>
      </c>
      <c r="B944" s="92">
        <v>407</v>
      </c>
      <c r="C944" s="93" t="str">
        <f>IF(ISNA(VLOOKUP(Tableau13[[#This Row],[Code]],'Code Véhicule'!$A$4:$C$185,2,0)),"",VLOOKUP(Tableau13[[#This Row],[Code]],'Code Véhicule'!$A$4:$C$185,2,0))</f>
        <v>Semi remorque</v>
      </c>
      <c r="D944" s="94" t="str">
        <f>IF(ISNA(VLOOKUP(Tableau13[[#This Row],[Code]],'Code Véhicule'!$A$4:$C$185,3,0)),"",VLOOKUP(Tableau13[[#This Row],[Code]],'Code Véhicule'!$A$4:$C$185,3,0))</f>
        <v>MAN</v>
      </c>
      <c r="E944" s="92" t="str">
        <f>IF(ISNA(VLOOKUP(Tableau13[[#This Row],[Code]],'Code Véhicule'!$A$4:$D$185,4,0))," ",VLOOKUP(Tableau13[[#This Row],[Code]],'Code Véhicule'!$A$4:$D$185,4,0))</f>
        <v>706-A-73</v>
      </c>
      <c r="F944" s="92">
        <v>26920</v>
      </c>
      <c r="G944" s="94" t="s">
        <v>545</v>
      </c>
      <c r="H944" s="94" t="s">
        <v>1768</v>
      </c>
      <c r="I944" s="92" t="s">
        <v>304</v>
      </c>
      <c r="J944" s="95" t="s">
        <v>1769</v>
      </c>
      <c r="K944" s="92">
        <v>179612</v>
      </c>
      <c r="L944" s="96">
        <v>180</v>
      </c>
      <c r="M944" s="96">
        <v>180</v>
      </c>
      <c r="N944" s="97">
        <v>44645</v>
      </c>
      <c r="O944" s="98"/>
      <c r="P944" s="98"/>
      <c r="Q944" s="177" t="e">
        <f>MONTH([1]!Tableau13[[#This Row],[Date début]])</f>
        <v>#REF!</v>
      </c>
      <c r="R944" s="181" t="e">
        <f>YEAR([1]!Tableau13[[#This Row],[Date début]])</f>
        <v>#REF!</v>
      </c>
      <c r="S944" s="44"/>
      <c r="T944" s="44"/>
    </row>
    <row r="945" spans="1:20" s="75" customFormat="1" ht="23.25">
      <c r="A945" s="91">
        <v>44646</v>
      </c>
      <c r="B945" s="92">
        <v>481</v>
      </c>
      <c r="C945" s="93" t="str">
        <f>IF(ISNA(VLOOKUP(Tableau13[[#This Row],[Code]],'Code Véhicule'!$A$4:$C$185,2,0)),"",VLOOKUP(Tableau13[[#This Row],[Code]],'Code Véhicule'!$A$4:$C$185,2,0))</f>
        <v>Camion</v>
      </c>
      <c r="D945" s="94" t="str">
        <f>IF(ISNA(VLOOKUP(Tableau13[[#This Row],[Code]],'Code Véhicule'!$A$4:$C$185,3,0)),"",VLOOKUP(Tableau13[[#This Row],[Code]],'Code Véhicule'!$A$4:$C$185,3,0))</f>
        <v>VOLVO</v>
      </c>
      <c r="E945" s="92" t="str">
        <f>IF(ISNA(VLOOKUP(Tableau13[[#This Row],[Code]],'Code Véhicule'!$A$4:$D$185,4,0))," ",VLOOKUP(Tableau13[[#This Row],[Code]],'Code Véhicule'!$A$4:$D$185,4,0))</f>
        <v>22300-A-73</v>
      </c>
      <c r="F945" s="92">
        <v>26923</v>
      </c>
      <c r="G945" s="94" t="s">
        <v>560</v>
      </c>
      <c r="H945" s="94" t="s">
        <v>604</v>
      </c>
      <c r="I945" s="92" t="s">
        <v>304</v>
      </c>
      <c r="J945" s="95" t="s">
        <v>530</v>
      </c>
      <c r="K945" s="92">
        <v>179620</v>
      </c>
      <c r="L945" s="96">
        <v>180</v>
      </c>
      <c r="M945" s="96">
        <v>180</v>
      </c>
      <c r="N945" s="97">
        <v>44646</v>
      </c>
      <c r="O945" s="98"/>
      <c r="P945" s="98"/>
      <c r="Q945" s="177" t="e">
        <f>MONTH([1]!Tableau13[[#This Row],[Date début]])</f>
        <v>#REF!</v>
      </c>
      <c r="R945" s="181" t="e">
        <f>YEAR([1]!Tableau13[[#This Row],[Date début]])</f>
        <v>#REF!</v>
      </c>
      <c r="S945" s="44"/>
      <c r="T945" s="44"/>
    </row>
    <row r="946" spans="1:20" s="75" customFormat="1" ht="30">
      <c r="A946" s="91">
        <v>44648</v>
      </c>
      <c r="B946" s="92">
        <v>401</v>
      </c>
      <c r="C946" s="93" t="str">
        <f>IF(ISNA(VLOOKUP(Tableau13[[#This Row],[Code]],'Code Véhicule'!$A$4:$C$185,2,0)),"",VLOOKUP(Tableau13[[#This Row],[Code]],'Code Véhicule'!$A$4:$C$185,2,0))</f>
        <v>Camion</v>
      </c>
      <c r="D946" s="94" t="str">
        <f>IF(ISNA(VLOOKUP(Tableau13[[#This Row],[Code]],'Code Véhicule'!$A$4:$C$185,3,0)),"",VLOOKUP(Tableau13[[#This Row],[Code]],'Code Véhicule'!$A$4:$C$185,3,0))</f>
        <v>ISUZU</v>
      </c>
      <c r="E946" s="92" t="str">
        <f>IF(ISNA(VLOOKUP(Tableau13[[#This Row],[Code]],'Code Véhicule'!$A$4:$D$185,4,0))," ",VLOOKUP(Tableau13[[#This Row],[Code]],'Code Véhicule'!$A$4:$D$185,4,0))</f>
        <v>26128-A-8</v>
      </c>
      <c r="F946" s="92">
        <v>26922</v>
      </c>
      <c r="G946" s="94" t="s">
        <v>774</v>
      </c>
      <c r="H946" s="94" t="s">
        <v>928</v>
      </c>
      <c r="I946" s="92" t="s">
        <v>304</v>
      </c>
      <c r="J946" s="95" t="s">
        <v>1188</v>
      </c>
      <c r="K946" s="92">
        <v>179622</v>
      </c>
      <c r="L946" s="96">
        <v>180</v>
      </c>
      <c r="M946" s="96">
        <v>180</v>
      </c>
      <c r="N946" s="97">
        <v>44648</v>
      </c>
      <c r="O946" s="98"/>
      <c r="P946" s="98"/>
      <c r="Q946" s="177" t="e">
        <f>MONTH([1]!Tableau13[[#This Row],[Date début]])</f>
        <v>#REF!</v>
      </c>
      <c r="R946" s="181" t="e">
        <f>YEAR([1]!Tableau13[[#This Row],[Date début]])</f>
        <v>#REF!</v>
      </c>
      <c r="S946" s="44"/>
      <c r="T946" s="44"/>
    </row>
    <row r="947" spans="1:20" s="75" customFormat="1" ht="30">
      <c r="A947" s="91">
        <v>44648</v>
      </c>
      <c r="B947" s="92">
        <v>407</v>
      </c>
      <c r="C947" s="93" t="str">
        <f>IF(ISNA(VLOOKUP(Tableau13[[#This Row],[Code]],'Code Véhicule'!$A$4:$C$185,2,0)),"",VLOOKUP(Tableau13[[#This Row],[Code]],'Code Véhicule'!$A$4:$C$185,2,0))</f>
        <v>Semi remorque</v>
      </c>
      <c r="D947" s="94" t="str">
        <f>IF(ISNA(VLOOKUP(Tableau13[[#This Row],[Code]],'Code Véhicule'!$A$4:$C$185,3,0)),"",VLOOKUP(Tableau13[[#This Row],[Code]],'Code Véhicule'!$A$4:$C$185,3,0))</f>
        <v>MAN</v>
      </c>
      <c r="E947" s="92" t="str">
        <f>IF(ISNA(VLOOKUP(Tableau13[[#This Row],[Code]],'Code Véhicule'!$A$4:$D$185,4,0))," ",VLOOKUP(Tableau13[[#This Row],[Code]],'Code Véhicule'!$A$4:$D$185,4,0))</f>
        <v>706-A-73</v>
      </c>
      <c r="F947" s="92">
        <v>26924</v>
      </c>
      <c r="G947" s="94" t="s">
        <v>560</v>
      </c>
      <c r="H947" s="94" t="s">
        <v>604</v>
      </c>
      <c r="I947" s="92" t="s">
        <v>304</v>
      </c>
      <c r="J947" s="95" t="s">
        <v>1770</v>
      </c>
      <c r="K947" s="92">
        <v>179625</v>
      </c>
      <c r="L947" s="96">
        <v>180</v>
      </c>
      <c r="M947" s="96">
        <v>180</v>
      </c>
      <c r="N947" s="97">
        <v>44648</v>
      </c>
      <c r="O947" s="98"/>
      <c r="P947" s="98"/>
      <c r="Q947" s="177" t="e">
        <f>MONTH([1]!Tableau13[[#This Row],[Date début]])</f>
        <v>#REF!</v>
      </c>
      <c r="R947" s="181" t="e">
        <f>YEAR([1]!Tableau13[[#This Row],[Date début]])</f>
        <v>#REF!</v>
      </c>
      <c r="S947" s="44"/>
      <c r="T947" s="44"/>
    </row>
    <row r="948" spans="1:20" s="75" customFormat="1" ht="23.25">
      <c r="A948" s="91">
        <v>44648</v>
      </c>
      <c r="B948" s="92">
        <v>401</v>
      </c>
      <c r="C948" s="93" t="str">
        <f>IF(ISNA(VLOOKUP(Tableau13[[#This Row],[Code]],'Code Véhicule'!$A$4:$C$185,2,0)),"",VLOOKUP(Tableau13[[#This Row],[Code]],'Code Véhicule'!$A$4:$C$185,2,0))</f>
        <v>Camion</v>
      </c>
      <c r="D948" s="94" t="str">
        <f>IF(ISNA(VLOOKUP(Tableau13[[#This Row],[Code]],'Code Véhicule'!$A$4:$C$185,3,0)),"",VLOOKUP(Tableau13[[#This Row],[Code]],'Code Véhicule'!$A$4:$C$185,3,0))</f>
        <v>ISUZU</v>
      </c>
      <c r="E948" s="92" t="str">
        <f>IF(ISNA(VLOOKUP(Tableau13[[#This Row],[Code]],'Code Véhicule'!$A$4:$D$185,4,0))," ",VLOOKUP(Tableau13[[#This Row],[Code]],'Code Véhicule'!$A$4:$D$185,4,0))</f>
        <v>26128-A-8</v>
      </c>
      <c r="F948" s="92">
        <v>26925</v>
      </c>
      <c r="G948" s="94" t="s">
        <v>511</v>
      </c>
      <c r="H948" s="94" t="s">
        <v>1611</v>
      </c>
      <c r="I948" s="92" t="s">
        <v>304</v>
      </c>
      <c r="J948" s="92" t="s">
        <v>1771</v>
      </c>
      <c r="K948" s="92">
        <v>179624</v>
      </c>
      <c r="L948" s="96">
        <v>360</v>
      </c>
      <c r="M948" s="96">
        <v>360</v>
      </c>
      <c r="N948" s="97">
        <v>44648</v>
      </c>
      <c r="O948" s="98"/>
      <c r="P948" s="98"/>
      <c r="Q948" s="177" t="e">
        <f>MONTH([1]!Tableau13[[#This Row],[Date début]])</f>
        <v>#REF!</v>
      </c>
      <c r="R948" s="181" t="e">
        <f>YEAR([1]!Tableau13[[#This Row],[Date début]])</f>
        <v>#REF!</v>
      </c>
      <c r="S948" s="44"/>
      <c r="T948" s="44"/>
    </row>
    <row r="949" spans="1:20" s="75" customFormat="1" ht="23.25">
      <c r="A949" s="91">
        <v>44648</v>
      </c>
      <c r="B949" s="92">
        <v>436</v>
      </c>
      <c r="C949" s="93" t="str">
        <f>IF(ISNA(VLOOKUP(Tableau13[[#This Row],[Code]],'Code Véhicule'!$A$4:$C$185,2,0)),"",VLOOKUP(Tableau13[[#This Row],[Code]],'Code Véhicule'!$A$4:$C$185,2,0))</f>
        <v>Camion</v>
      </c>
      <c r="D949" s="94" t="str">
        <f>IF(ISNA(VLOOKUP(Tableau13[[#This Row],[Code]],'Code Véhicule'!$A$4:$C$185,3,0)),"",VLOOKUP(Tableau13[[#This Row],[Code]],'Code Véhicule'!$A$4:$C$185,3,0))</f>
        <v>Mitsubishi</v>
      </c>
      <c r="E949" s="92" t="str">
        <f>IF(ISNA(VLOOKUP(Tableau13[[#This Row],[Code]],'Code Véhicule'!$A$4:$D$185,4,0))," ",VLOOKUP(Tableau13[[#This Row],[Code]],'Code Véhicule'!$A$4:$D$185,4,0))</f>
        <v>11470-A-73</v>
      </c>
      <c r="F949" s="92">
        <v>26926</v>
      </c>
      <c r="G949" s="94" t="s">
        <v>560</v>
      </c>
      <c r="H949" s="94" t="s">
        <v>604</v>
      </c>
      <c r="I949" s="92" t="s">
        <v>304</v>
      </c>
      <c r="J949" s="95" t="s">
        <v>530</v>
      </c>
      <c r="K949" s="92">
        <v>179627</v>
      </c>
      <c r="L949" s="96">
        <v>120</v>
      </c>
      <c r="M949" s="96">
        <v>120</v>
      </c>
      <c r="N949" s="97">
        <v>44648</v>
      </c>
      <c r="O949" s="98"/>
      <c r="P949" s="98"/>
      <c r="Q949" s="177" t="e">
        <f>MONTH([1]!Tableau13[[#This Row],[Date début]])</f>
        <v>#REF!</v>
      </c>
      <c r="R949" s="181" t="e">
        <f>YEAR([1]!Tableau13[[#This Row],[Date début]])</f>
        <v>#REF!</v>
      </c>
      <c r="S949" s="44"/>
      <c r="T949" s="44"/>
    </row>
    <row r="950" spans="1:20" s="75" customFormat="1" ht="23.25">
      <c r="A950" s="91">
        <v>44652</v>
      </c>
      <c r="B950" s="92">
        <v>431</v>
      </c>
      <c r="C950" s="93" t="str">
        <f>IF(ISNA(VLOOKUP(Tableau13[[#This Row],[Code]],'Code Véhicule'!$A$4:$C$185,2,0)),"",VLOOKUP(Tableau13[[#This Row],[Code]],'Code Véhicule'!$A$4:$C$185,2,0))</f>
        <v>Chariot elevateur</v>
      </c>
      <c r="D950" s="94" t="str">
        <f>IF(ISNA(VLOOKUP(Tableau13[[#This Row],[Code]],'Code Véhicule'!$A$4:$C$185,3,0)),"",VLOOKUP(Tableau13[[#This Row],[Code]],'Code Véhicule'!$A$4:$C$185,3,0))</f>
        <v>Manitou M26-2</v>
      </c>
      <c r="E950" s="92" t="str">
        <f>IF(ISNA(VLOOKUP(Tableau13[[#This Row],[Code]],'Code Véhicule'!$A$4:$D$185,4,0))," ",VLOOKUP(Tableau13[[#This Row],[Code]],'Code Véhicule'!$A$4:$D$185,4,0))</f>
        <v>-</v>
      </c>
      <c r="F950" s="92"/>
      <c r="G950" s="94"/>
      <c r="H950" s="94"/>
      <c r="I950" s="92"/>
      <c r="J950" s="39" t="s">
        <v>1907</v>
      </c>
      <c r="K950" s="92"/>
      <c r="L950" s="96"/>
      <c r="M950" s="96">
        <v>14820</v>
      </c>
      <c r="N950" s="97">
        <v>44681</v>
      </c>
      <c r="O950" s="98"/>
      <c r="P950" s="98"/>
      <c r="Q950" s="177" t="e">
        <f>MONTH([1]!Tableau13[[#This Row],[Date début]])</f>
        <v>#REF!</v>
      </c>
      <c r="R950" s="181" t="e">
        <f>YEAR([1]!Tableau13[[#This Row],[Date début]])</f>
        <v>#REF!</v>
      </c>
      <c r="S950" s="44"/>
      <c r="T950" s="44"/>
    </row>
    <row r="951" spans="1:20" s="75" customFormat="1" ht="23.25">
      <c r="A951" s="91">
        <v>44653</v>
      </c>
      <c r="B951" s="92">
        <v>427</v>
      </c>
      <c r="C951" s="93" t="str">
        <f>IF(ISNA(VLOOKUP(Tableau13[[#This Row],[Code]],'Code Véhicule'!$A$4:$C$185,2,0)),"",VLOOKUP(Tableau13[[#This Row],[Code]],'Code Véhicule'!$A$4:$C$185,2,0))</f>
        <v>Chariot elevateur</v>
      </c>
      <c r="D951" s="94" t="str">
        <f>IF(ISNA(VLOOKUP(Tableau13[[#This Row],[Code]],'Code Véhicule'!$A$4:$C$185,3,0)),"",VLOOKUP(Tableau13[[#This Row],[Code]],'Code Véhicule'!$A$4:$C$185,3,0))</f>
        <v>Linde H30</v>
      </c>
      <c r="E951" s="92" t="str">
        <f>IF(ISNA(VLOOKUP(Tableau13[[#This Row],[Code]],'Code Véhicule'!$A$4:$D$185,4,0))," ",VLOOKUP(Tableau13[[#This Row],[Code]],'Code Véhicule'!$A$4:$D$185,4,0))</f>
        <v>-</v>
      </c>
      <c r="F951" s="92">
        <v>26927</v>
      </c>
      <c r="G951" s="94" t="s">
        <v>1772</v>
      </c>
      <c r="H951" s="94" t="s">
        <v>1773</v>
      </c>
      <c r="I951" s="92" t="s">
        <v>304</v>
      </c>
      <c r="J951" s="95" t="s">
        <v>1774</v>
      </c>
      <c r="K951" s="92">
        <v>179642</v>
      </c>
      <c r="L951" s="96">
        <v>570</v>
      </c>
      <c r="M951" s="96">
        <v>570</v>
      </c>
      <c r="N951" s="97">
        <v>44653</v>
      </c>
      <c r="O951" s="98"/>
      <c r="P951" s="98"/>
      <c r="Q951" s="177" t="e">
        <f>MONTH([1]!Tableau13[[#This Row],[Date début]])</f>
        <v>#REF!</v>
      </c>
      <c r="R951" s="181" t="e">
        <f>YEAR([1]!Tableau13[[#This Row],[Date début]])</f>
        <v>#REF!</v>
      </c>
      <c r="S951" s="44"/>
      <c r="T951" s="44"/>
    </row>
    <row r="952" spans="1:20" s="75" customFormat="1" ht="30">
      <c r="A952" s="91">
        <v>44655</v>
      </c>
      <c r="B952" s="92">
        <v>428</v>
      </c>
      <c r="C952" s="93" t="str">
        <f>IF(ISNA(VLOOKUP(Tableau13[[#This Row],[Code]],'Code Véhicule'!$A$4:$C$185,2,0)),"",VLOOKUP(Tableau13[[#This Row],[Code]],'Code Véhicule'!$A$4:$C$185,2,0))</f>
        <v>Chariot elevateur</v>
      </c>
      <c r="D952" s="94" t="str">
        <f>IF(ISNA(VLOOKUP(Tableau13[[#This Row],[Code]],'Code Véhicule'!$A$4:$C$185,3,0)),"",VLOOKUP(Tableau13[[#This Row],[Code]],'Code Véhicule'!$A$4:$C$185,3,0))</f>
        <v>Linde H30</v>
      </c>
      <c r="E952" s="92" t="str">
        <f>IF(ISNA(VLOOKUP(Tableau13[[#This Row],[Code]],'Code Véhicule'!$A$4:$D$185,4,0))," ",VLOOKUP(Tableau13[[#This Row],[Code]],'Code Véhicule'!$A$4:$D$185,4,0))</f>
        <v>-</v>
      </c>
      <c r="F952" s="92">
        <v>26929</v>
      </c>
      <c r="G952" s="94" t="s">
        <v>511</v>
      </c>
      <c r="H952" s="94" t="s">
        <v>672</v>
      </c>
      <c r="I952" s="92" t="s">
        <v>304</v>
      </c>
      <c r="J952" s="95" t="s">
        <v>1779</v>
      </c>
      <c r="K952" s="92">
        <v>180653</v>
      </c>
      <c r="L952" s="96">
        <v>120</v>
      </c>
      <c r="M952" s="96">
        <v>120</v>
      </c>
      <c r="N952" s="97">
        <v>44655</v>
      </c>
      <c r="O952" s="98"/>
      <c r="P952" s="98"/>
      <c r="Q952" s="177" t="e">
        <f>MONTH([1]!Tableau13[[#This Row],[Date début]])</f>
        <v>#REF!</v>
      </c>
      <c r="R952" s="181" t="e">
        <f>YEAR([1]!Tableau13[[#This Row],[Date début]])</f>
        <v>#REF!</v>
      </c>
      <c r="S952" s="44"/>
      <c r="T952" s="44"/>
    </row>
    <row r="953" spans="1:20" s="75" customFormat="1" ht="23.25">
      <c r="A953" s="91">
        <v>44655</v>
      </c>
      <c r="B953" s="92">
        <v>407</v>
      </c>
      <c r="C953" s="93" t="str">
        <f>IF(ISNA(VLOOKUP(Tableau13[[#This Row],[Code]],'Code Véhicule'!$A$4:$C$185,2,0)),"",VLOOKUP(Tableau13[[#This Row],[Code]],'Code Véhicule'!$A$4:$C$185,2,0))</f>
        <v>Semi remorque</v>
      </c>
      <c r="D953" s="94" t="str">
        <f>IF(ISNA(VLOOKUP(Tableau13[[#This Row],[Code]],'Code Véhicule'!$A$4:$C$185,3,0)),"",VLOOKUP(Tableau13[[#This Row],[Code]],'Code Véhicule'!$A$4:$C$185,3,0))</f>
        <v>MAN</v>
      </c>
      <c r="E953" s="92" t="str">
        <f>IF(ISNA(VLOOKUP(Tableau13[[#This Row],[Code]],'Code Véhicule'!$A$4:$D$185,4,0))," ",VLOOKUP(Tableau13[[#This Row],[Code]],'Code Véhicule'!$A$4:$D$185,4,0))</f>
        <v>706-A-73</v>
      </c>
      <c r="F953" s="92">
        <v>26930</v>
      </c>
      <c r="G953" s="94" t="s">
        <v>545</v>
      </c>
      <c r="H953" s="94" t="s">
        <v>1780</v>
      </c>
      <c r="I953" s="92" t="s">
        <v>304</v>
      </c>
      <c r="J953" s="95" t="s">
        <v>1781</v>
      </c>
      <c r="K953" s="92">
        <v>180854</v>
      </c>
      <c r="L953" s="96">
        <v>3420</v>
      </c>
      <c r="M953" s="96">
        <v>3420</v>
      </c>
      <c r="N953" s="97">
        <v>44671</v>
      </c>
      <c r="O953" s="98"/>
      <c r="P953" s="98"/>
      <c r="Q953" s="177" t="e">
        <f>MONTH([1]!Tableau13[[#This Row],[Date début]])</f>
        <v>#REF!</v>
      </c>
      <c r="R953" s="181" t="e">
        <f>YEAR([1]!Tableau13[[#This Row],[Date début]])</f>
        <v>#REF!</v>
      </c>
      <c r="S953" s="44"/>
      <c r="T953" s="44"/>
    </row>
    <row r="954" spans="1:20" s="75" customFormat="1" ht="105">
      <c r="A954" s="91">
        <v>44655</v>
      </c>
      <c r="B954" s="92">
        <v>432</v>
      </c>
      <c r="C954" s="93" t="str">
        <f>IF(ISNA(VLOOKUP(Tableau13[[#This Row],[Code]],'Code Véhicule'!$A$4:$C$185,2,0)),"",VLOOKUP(Tableau13[[#This Row],[Code]],'Code Véhicule'!$A$4:$C$185,2,0))</f>
        <v>Voiture de fonction</v>
      </c>
      <c r="D954" s="94" t="str">
        <f>IF(ISNA(VLOOKUP(Tableau13[[#This Row],[Code]],'Code Véhicule'!$A$4:$C$185,3,0)),"",VLOOKUP(Tableau13[[#This Row],[Code]],'Code Véhicule'!$A$4:$C$185,3,0))</f>
        <v>Berlingo</v>
      </c>
      <c r="E954" s="92" t="str">
        <f>IF(ISNA(VLOOKUP(Tableau13[[#This Row],[Code]],'Code Véhicule'!$A$4:$D$185,4,0))," ",VLOOKUP(Tableau13[[#This Row],[Code]],'Code Véhicule'!$A$4:$D$185,4,0))</f>
        <v xml:space="preserve"> 9660 -A-73</v>
      </c>
      <c r="F954" s="92">
        <v>26931</v>
      </c>
      <c r="G954" s="94" t="s">
        <v>1534</v>
      </c>
      <c r="H954" s="94" t="s">
        <v>1245</v>
      </c>
      <c r="I954" s="92" t="s">
        <v>304</v>
      </c>
      <c r="J954" s="95" t="s">
        <v>1782</v>
      </c>
      <c r="K954" s="92" t="s">
        <v>1783</v>
      </c>
      <c r="L954" s="96">
        <v>1710</v>
      </c>
      <c r="M954" s="96">
        <v>1710</v>
      </c>
      <c r="N954" s="97">
        <v>44659</v>
      </c>
      <c r="O954" s="98"/>
      <c r="P954" s="98"/>
      <c r="Q954" s="177" t="e">
        <f>MONTH([1]!Tableau13[[#This Row],[Date début]])</f>
        <v>#REF!</v>
      </c>
      <c r="R954" s="181" t="e">
        <f>YEAR([1]!Tableau13[[#This Row],[Date début]])</f>
        <v>#REF!</v>
      </c>
      <c r="S954" s="44"/>
      <c r="T954" s="44"/>
    </row>
    <row r="955" spans="1:20" s="75" customFormat="1" ht="75">
      <c r="A955" s="91">
        <v>44657</v>
      </c>
      <c r="B955" s="92">
        <v>472</v>
      </c>
      <c r="C955" s="93" t="str">
        <f>IF(ISNA(VLOOKUP(Tableau13[[#This Row],[Code]],'Code Véhicule'!$A$4:$C$185,2,0)),"",VLOOKUP(Tableau13[[#This Row],[Code]],'Code Véhicule'!$A$4:$C$185,2,0))</f>
        <v>Chariot elevateur</v>
      </c>
      <c r="D955" s="94" t="str">
        <f>IF(ISNA(VLOOKUP(Tableau13[[#This Row],[Code]],'Code Véhicule'!$A$4:$C$185,3,0)),"",VLOOKUP(Tableau13[[#This Row],[Code]],'Code Véhicule'!$A$4:$C$185,3,0))</f>
        <v>Linde H25d</v>
      </c>
      <c r="E955" s="92" t="str">
        <f>IF(ISNA(VLOOKUP(Tableau13[[#This Row],[Code]],'Code Véhicule'!$A$4:$D$185,4,0))," ",VLOOKUP(Tableau13[[#This Row],[Code]],'Code Véhicule'!$A$4:$D$185,4,0))</f>
        <v>-</v>
      </c>
      <c r="F955" s="92">
        <v>26932</v>
      </c>
      <c r="G955" s="94" t="s">
        <v>393</v>
      </c>
      <c r="H955" s="94" t="s">
        <v>608</v>
      </c>
      <c r="I955" s="92" t="s">
        <v>304</v>
      </c>
      <c r="J955" s="95" t="s">
        <v>1786</v>
      </c>
      <c r="K955" s="92">
        <v>180663</v>
      </c>
      <c r="L955" s="96">
        <v>360</v>
      </c>
      <c r="M955" s="96">
        <v>360</v>
      </c>
      <c r="N955" s="97">
        <v>44657</v>
      </c>
      <c r="O955" s="98"/>
      <c r="P955" s="98"/>
      <c r="Q955" s="177" t="e">
        <f>MONTH([1]!Tableau13[[#This Row],[Date début]])</f>
        <v>#REF!</v>
      </c>
      <c r="R955" s="181" t="e">
        <f>YEAR([1]!Tableau13[[#This Row],[Date début]])</f>
        <v>#REF!</v>
      </c>
      <c r="S955" s="44"/>
      <c r="T955" s="44"/>
    </row>
    <row r="956" spans="1:20" s="75" customFormat="1" ht="23.25">
      <c r="A956" s="91">
        <v>44657</v>
      </c>
      <c r="B956" s="92">
        <v>439</v>
      </c>
      <c r="C956" s="93" t="str">
        <f>IF(ISNA(VLOOKUP(Tableau13[[#This Row],[Code]],'Code Véhicule'!$A$4:$C$185,2,0)),"",VLOOKUP(Tableau13[[#This Row],[Code]],'Code Véhicule'!$A$4:$C$185,2,0))</f>
        <v>Semi remorque</v>
      </c>
      <c r="D956" s="94" t="str">
        <f>IF(ISNA(VLOOKUP(Tableau13[[#This Row],[Code]],'Code Véhicule'!$A$4:$C$185,3,0)),"",VLOOKUP(Tableau13[[#This Row],[Code]],'Code Véhicule'!$A$4:$C$185,3,0))</f>
        <v>VOLVO</v>
      </c>
      <c r="E956" s="92" t="str">
        <f>IF(ISNA(VLOOKUP(Tableau13[[#This Row],[Code]],'Code Véhicule'!$A$4:$D$185,4,0))," ",VLOOKUP(Tableau13[[#This Row],[Code]],'Code Véhicule'!$A$4:$D$185,4,0))</f>
        <v xml:space="preserve">17886-A-73 </v>
      </c>
      <c r="F956" s="92">
        <v>26933</v>
      </c>
      <c r="G956" s="94" t="s">
        <v>393</v>
      </c>
      <c r="H956" s="94" t="s">
        <v>1318</v>
      </c>
      <c r="I956" s="92" t="s">
        <v>304</v>
      </c>
      <c r="J956" s="95" t="s">
        <v>1784</v>
      </c>
      <c r="K956" s="92">
        <v>180664</v>
      </c>
      <c r="L956" s="96">
        <v>60</v>
      </c>
      <c r="M956" s="96">
        <v>60</v>
      </c>
      <c r="N956" s="97">
        <v>44657</v>
      </c>
      <c r="O956" s="98"/>
      <c r="P956" s="98"/>
      <c r="Q956" s="177" t="e">
        <f>MONTH([1]!Tableau13[[#This Row],[Date début]])</f>
        <v>#REF!</v>
      </c>
      <c r="R956" s="181" t="e">
        <f>YEAR([1]!Tableau13[[#This Row],[Date début]])</f>
        <v>#REF!</v>
      </c>
      <c r="S956" s="44"/>
      <c r="T956" s="44"/>
    </row>
    <row r="957" spans="1:20" s="75" customFormat="1" ht="75">
      <c r="A957" s="91">
        <v>44658</v>
      </c>
      <c r="B957" s="92">
        <v>477</v>
      </c>
      <c r="C957" s="93" t="str">
        <f>IF(ISNA(VLOOKUP(Tableau13[[#This Row],[Code]],'Code Véhicule'!$A$4:$C$185,2,0)),"",VLOOKUP(Tableau13[[#This Row],[Code]],'Code Véhicule'!$A$4:$C$185,2,0))</f>
        <v>Chariot elevateur</v>
      </c>
      <c r="D957" s="94" t="str">
        <f>IF(ISNA(VLOOKUP(Tableau13[[#This Row],[Code]],'Code Véhicule'!$A$4:$C$185,3,0)),"",VLOOKUP(Tableau13[[#This Row],[Code]],'Code Véhicule'!$A$4:$C$185,3,0))</f>
        <v>Linde H30D</v>
      </c>
      <c r="E957" s="92" t="str">
        <f>IF(ISNA(VLOOKUP(Tableau13[[#This Row],[Code]],'Code Véhicule'!$A$4:$D$185,4,0))," ",VLOOKUP(Tableau13[[#This Row],[Code]],'Code Véhicule'!$A$4:$D$185,4,0))</f>
        <v>-</v>
      </c>
      <c r="F957" s="92">
        <v>26934</v>
      </c>
      <c r="G957" s="94" t="s">
        <v>393</v>
      </c>
      <c r="H957" s="94" t="s">
        <v>608</v>
      </c>
      <c r="I957" s="92" t="s">
        <v>302</v>
      </c>
      <c r="J957" s="95" t="s">
        <v>1785</v>
      </c>
      <c r="K957" s="92">
        <v>180666</v>
      </c>
      <c r="L957" s="96">
        <v>120</v>
      </c>
      <c r="M957" s="96">
        <v>120</v>
      </c>
      <c r="N957" s="97">
        <v>44658</v>
      </c>
      <c r="O957" s="98"/>
      <c r="P957" s="98"/>
      <c r="Q957" s="177" t="e">
        <f>MONTH([1]!Tableau13[[#This Row],[Date début]])</f>
        <v>#REF!</v>
      </c>
      <c r="R957" s="181" t="e">
        <f>YEAR([1]!Tableau13[[#This Row],[Date début]])</f>
        <v>#REF!</v>
      </c>
      <c r="S957" s="44"/>
      <c r="T957" s="44"/>
    </row>
    <row r="958" spans="1:20" s="75" customFormat="1" ht="60">
      <c r="A958" s="91">
        <v>44663</v>
      </c>
      <c r="B958" s="92">
        <v>428</v>
      </c>
      <c r="C958" s="93" t="str">
        <f>IF(ISNA(VLOOKUP(Tableau13[[#This Row],[Code]],'Code Véhicule'!$A$4:$C$185,2,0)),"",VLOOKUP(Tableau13[[#This Row],[Code]],'Code Véhicule'!$A$4:$C$185,2,0))</f>
        <v>Chariot elevateur</v>
      </c>
      <c r="D958" s="94" t="str">
        <f>IF(ISNA(VLOOKUP(Tableau13[[#This Row],[Code]],'Code Véhicule'!$A$4:$C$185,3,0)),"",VLOOKUP(Tableau13[[#This Row],[Code]],'Code Véhicule'!$A$4:$C$185,3,0))</f>
        <v>Linde H30</v>
      </c>
      <c r="E958" s="92" t="str">
        <f>IF(ISNA(VLOOKUP(Tableau13[[#This Row],[Code]],'Code Véhicule'!$A$4:$D$185,4,0))," ",VLOOKUP(Tableau13[[#This Row],[Code]],'Code Véhicule'!$A$4:$D$185,4,0))</f>
        <v>-</v>
      </c>
      <c r="F958" s="92">
        <v>26935</v>
      </c>
      <c r="G958" s="94" t="s">
        <v>1787</v>
      </c>
      <c r="H958" s="94" t="s">
        <v>683</v>
      </c>
      <c r="I958" s="92" t="s">
        <v>304</v>
      </c>
      <c r="J958" s="95" t="s">
        <v>1788</v>
      </c>
      <c r="K958" s="92">
        <v>180682</v>
      </c>
      <c r="L958" s="96">
        <v>5700</v>
      </c>
      <c r="M958" s="96">
        <v>5700</v>
      </c>
      <c r="N958" s="97">
        <v>44677</v>
      </c>
      <c r="O958" s="98"/>
      <c r="P958" s="98"/>
      <c r="Q958" s="177" t="e">
        <f>MONTH([1]!Tableau13[[#This Row],[Date début]])</f>
        <v>#REF!</v>
      </c>
      <c r="R958" s="181" t="e">
        <f>YEAR([1]!Tableau13[[#This Row],[Date début]])</f>
        <v>#REF!</v>
      </c>
      <c r="S958" s="44"/>
      <c r="T958" s="44"/>
    </row>
    <row r="959" spans="1:20" s="75" customFormat="1" ht="45">
      <c r="A959" s="91">
        <v>44663</v>
      </c>
      <c r="B959" s="92">
        <v>411</v>
      </c>
      <c r="C959" s="93" t="str">
        <f>IF(ISNA(VLOOKUP(Tableau13[[#This Row],[Code]],'Code Véhicule'!$A$4:$C$185,2,0)),"",VLOOKUP(Tableau13[[#This Row],[Code]],'Code Véhicule'!$A$4:$C$185,2,0))</f>
        <v>Camion</v>
      </c>
      <c r="D959" s="94" t="str">
        <f>IF(ISNA(VLOOKUP(Tableau13[[#This Row],[Code]],'Code Véhicule'!$A$4:$C$185,3,0)),"",VLOOKUP(Tableau13[[#This Row],[Code]],'Code Véhicule'!$A$4:$C$185,3,0))</f>
        <v>Renault</v>
      </c>
      <c r="E959" s="92" t="str">
        <f>IF(ISNA(VLOOKUP(Tableau13[[#This Row],[Code]],'Code Véhicule'!$A$4:$D$185,4,0))," ",VLOOKUP(Tableau13[[#This Row],[Code]],'Code Véhicule'!$A$4:$D$185,4,0))</f>
        <v>25636-A-13</v>
      </c>
      <c r="F959" s="92">
        <v>26936</v>
      </c>
      <c r="G959" s="94" t="s">
        <v>560</v>
      </c>
      <c r="H959" s="94" t="s">
        <v>604</v>
      </c>
      <c r="I959" s="92" t="s">
        <v>304</v>
      </c>
      <c r="J959" s="95" t="s">
        <v>1789</v>
      </c>
      <c r="K959" s="92" t="s">
        <v>1790</v>
      </c>
      <c r="L959" s="96">
        <v>360</v>
      </c>
      <c r="M959" s="96">
        <v>360</v>
      </c>
      <c r="N959" s="97">
        <v>44663</v>
      </c>
      <c r="O959" s="98"/>
      <c r="P959" s="98"/>
      <c r="Q959" s="177" t="e">
        <f>MONTH([1]!Tableau13[[#This Row],[Date début]])</f>
        <v>#REF!</v>
      </c>
      <c r="R959" s="181" t="e">
        <f>YEAR([1]!Tableau13[[#This Row],[Date début]])</f>
        <v>#REF!</v>
      </c>
      <c r="S959" s="44"/>
      <c r="T959" s="44"/>
    </row>
    <row r="960" spans="1:20" s="75" customFormat="1" ht="90">
      <c r="A960" s="91">
        <v>44663</v>
      </c>
      <c r="B960" s="92">
        <v>434</v>
      </c>
      <c r="C960" s="93" t="str">
        <f>IF(ISNA(VLOOKUP(Tableau13[[#This Row],[Code]],'Code Véhicule'!$A$4:$C$185,2,0)),"",VLOOKUP(Tableau13[[#This Row],[Code]],'Code Véhicule'!$A$4:$C$185,2,0))</f>
        <v>Chariot elevateur</v>
      </c>
      <c r="D960" s="94" t="str">
        <f>IF(ISNA(VLOOKUP(Tableau13[[#This Row],[Code]],'Code Véhicule'!$A$4:$C$185,3,0)),"",VLOOKUP(Tableau13[[#This Row],[Code]],'Code Véhicule'!$A$4:$C$185,3,0))</f>
        <v>Linde H30D</v>
      </c>
      <c r="E960" s="92" t="str">
        <f>IF(ISNA(VLOOKUP(Tableau13[[#This Row],[Code]],'Code Véhicule'!$A$4:$D$185,4,0))," ",VLOOKUP(Tableau13[[#This Row],[Code]],'Code Véhicule'!$A$4:$D$185,4,0))</f>
        <v>-</v>
      </c>
      <c r="F960" s="92">
        <v>26937</v>
      </c>
      <c r="G960" s="94" t="s">
        <v>511</v>
      </c>
      <c r="H960" s="94" t="s">
        <v>1791</v>
      </c>
      <c r="I960" s="92" t="s">
        <v>304</v>
      </c>
      <c r="J960" s="95" t="s">
        <v>1792</v>
      </c>
      <c r="K960" s="92" t="s">
        <v>1793</v>
      </c>
      <c r="L960" s="96">
        <v>1140</v>
      </c>
      <c r="M960" s="96">
        <v>1140</v>
      </c>
      <c r="N960" s="97">
        <v>44667</v>
      </c>
      <c r="O960" s="98"/>
      <c r="P960" s="98"/>
      <c r="Q960" s="177" t="e">
        <f>MONTH([1]!Tableau13[[#This Row],[Date début]])</f>
        <v>#REF!</v>
      </c>
      <c r="R960" s="181" t="e">
        <f>YEAR([1]!Tableau13[[#This Row],[Date début]])</f>
        <v>#REF!</v>
      </c>
      <c r="S960" s="44"/>
      <c r="T960" s="44"/>
    </row>
    <row r="961" spans="1:20" s="75" customFormat="1" ht="90">
      <c r="A961" s="91">
        <v>44667</v>
      </c>
      <c r="B961" s="92">
        <v>439</v>
      </c>
      <c r="C961" s="93" t="str">
        <f>IF(ISNA(VLOOKUP(Tableau13[[#This Row],[Code]],'Code Véhicule'!$A$4:$C$185,2,0)),"",VLOOKUP(Tableau13[[#This Row],[Code]],'Code Véhicule'!$A$4:$C$185,2,0))</f>
        <v>Semi remorque</v>
      </c>
      <c r="D961" s="94" t="str">
        <f>IF(ISNA(VLOOKUP(Tableau13[[#This Row],[Code]],'Code Véhicule'!$A$4:$C$185,3,0)),"",VLOOKUP(Tableau13[[#This Row],[Code]],'Code Véhicule'!$A$4:$C$185,3,0))</f>
        <v>VOLVO</v>
      </c>
      <c r="E961" s="92" t="str">
        <f>IF(ISNA(VLOOKUP(Tableau13[[#This Row],[Code]],'Code Véhicule'!$A$4:$D$185,4,0))," ",VLOOKUP(Tableau13[[#This Row],[Code]],'Code Véhicule'!$A$4:$D$185,4,0))</f>
        <v xml:space="preserve">17886-A-73 </v>
      </c>
      <c r="F961" s="92">
        <v>26940</v>
      </c>
      <c r="G961" s="94" t="s">
        <v>393</v>
      </c>
      <c r="H961" s="94" t="s">
        <v>608</v>
      </c>
      <c r="I961" s="92" t="s">
        <v>304</v>
      </c>
      <c r="J961" s="95" t="s">
        <v>1799</v>
      </c>
      <c r="K961" s="92" t="s">
        <v>1800</v>
      </c>
      <c r="L961" s="96">
        <v>180</v>
      </c>
      <c r="M961" s="96">
        <v>180</v>
      </c>
      <c r="N961" s="97">
        <v>44667</v>
      </c>
      <c r="O961" s="98"/>
      <c r="P961" s="98"/>
      <c r="Q961" s="177" t="e">
        <f>MONTH([1]!Tableau13[[#This Row],[Date début]])</f>
        <v>#REF!</v>
      </c>
      <c r="R961" s="181" t="e">
        <f>YEAR([1]!Tableau13[[#This Row],[Date début]])</f>
        <v>#REF!</v>
      </c>
      <c r="S961" s="44"/>
      <c r="T961" s="44"/>
    </row>
    <row r="962" spans="1:20" s="75" customFormat="1" ht="75">
      <c r="A962" s="91">
        <v>44669</v>
      </c>
      <c r="B962" s="92">
        <v>482</v>
      </c>
      <c r="C962" s="93" t="str">
        <f>IF(ISNA(VLOOKUP(Tableau13[[#This Row],[Code]],'Code Véhicule'!$A$4:$C$185,2,0)),"",VLOOKUP(Tableau13[[#This Row],[Code]],'Code Véhicule'!$A$4:$C$185,2,0))</f>
        <v>Pick up</v>
      </c>
      <c r="D962" s="94" t="str">
        <f>IF(ISNA(VLOOKUP(Tableau13[[#This Row],[Code]],'Code Véhicule'!$A$4:$C$185,3,0)),"",VLOOKUP(Tableau13[[#This Row],[Code]],'Code Véhicule'!$A$4:$C$185,3,0))</f>
        <v>HYUNDAI H100</v>
      </c>
      <c r="E962" s="92" t="str">
        <f>IF(ISNA(VLOOKUP(Tableau13[[#This Row],[Code]],'Code Véhicule'!$A$4:$D$185,4,0))," ",VLOOKUP(Tableau13[[#This Row],[Code]],'Code Véhicule'!$A$4:$D$185,4,0))</f>
        <v>22368-A-73</v>
      </c>
      <c r="F962" s="92">
        <v>26942</v>
      </c>
      <c r="G962" s="94" t="s">
        <v>393</v>
      </c>
      <c r="H962" s="94" t="s">
        <v>608</v>
      </c>
      <c r="I962" s="92" t="s">
        <v>304</v>
      </c>
      <c r="J962" s="95" t="s">
        <v>1806</v>
      </c>
      <c r="K962" s="92">
        <v>180909</v>
      </c>
      <c r="L962" s="96">
        <v>120</v>
      </c>
      <c r="M962" s="96">
        <v>120</v>
      </c>
      <c r="N962" s="97">
        <v>44669</v>
      </c>
      <c r="O962" s="98"/>
      <c r="P962" s="98"/>
      <c r="Q962" s="177" t="e">
        <f>MONTH([1]!Tableau13[[#This Row],[Date début]])</f>
        <v>#REF!</v>
      </c>
      <c r="R962" s="181" t="e">
        <f>YEAR([1]!Tableau13[[#This Row],[Date début]])</f>
        <v>#REF!</v>
      </c>
      <c r="S962" s="44"/>
      <c r="T962" s="44"/>
    </row>
    <row r="963" spans="1:20" s="75" customFormat="1" ht="30">
      <c r="A963" s="91">
        <v>44673</v>
      </c>
      <c r="B963" s="92">
        <v>436</v>
      </c>
      <c r="C963" s="93" t="str">
        <f>IF(ISNA(VLOOKUP(Tableau13[[#This Row],[Code]],'Code Véhicule'!$A$4:$C$185,2,0)),"",VLOOKUP(Tableau13[[#This Row],[Code]],'Code Véhicule'!$A$4:$C$185,2,0))</f>
        <v>Camion</v>
      </c>
      <c r="D963" s="94" t="str">
        <f>IF(ISNA(VLOOKUP(Tableau13[[#This Row],[Code]],'Code Véhicule'!$A$4:$C$185,3,0)),"",VLOOKUP(Tableau13[[#This Row],[Code]],'Code Véhicule'!$A$4:$C$185,3,0))</f>
        <v>Mitsubishi</v>
      </c>
      <c r="E963" s="92" t="str">
        <f>IF(ISNA(VLOOKUP(Tableau13[[#This Row],[Code]],'Code Véhicule'!$A$4:$D$185,4,0))," ",VLOOKUP(Tableau13[[#This Row],[Code]],'Code Véhicule'!$A$4:$D$185,4,0))</f>
        <v>11470-A-73</v>
      </c>
      <c r="F963" s="92">
        <v>26943</v>
      </c>
      <c r="G963" s="94" t="s">
        <v>511</v>
      </c>
      <c r="H963" s="94" t="s">
        <v>672</v>
      </c>
      <c r="I963" s="92" t="s">
        <v>304</v>
      </c>
      <c r="J963" s="95" t="s">
        <v>1807</v>
      </c>
      <c r="K963" s="92">
        <v>180925</v>
      </c>
      <c r="L963" s="96">
        <v>60</v>
      </c>
      <c r="M963" s="96">
        <v>60</v>
      </c>
      <c r="N963" s="97">
        <v>44673</v>
      </c>
      <c r="O963" s="98"/>
      <c r="P963" s="98"/>
      <c r="Q963" s="177" t="e">
        <f>MONTH([1]!Tableau13[[#This Row],[Date début]])</f>
        <v>#REF!</v>
      </c>
      <c r="R963" s="181" t="e">
        <f>YEAR([1]!Tableau13[[#This Row],[Date début]])</f>
        <v>#REF!</v>
      </c>
      <c r="S963" s="44"/>
      <c r="T963" s="44"/>
    </row>
    <row r="964" spans="1:20" s="75" customFormat="1" ht="30">
      <c r="A964" s="91">
        <v>44673</v>
      </c>
      <c r="B964" s="92">
        <v>426</v>
      </c>
      <c r="C964" s="93" t="str">
        <f>IF(ISNA(VLOOKUP(Tableau13[[#This Row],[Code]],'Code Véhicule'!$A$4:$C$185,2,0)),"",VLOOKUP(Tableau13[[#This Row],[Code]],'Code Véhicule'!$A$4:$C$185,2,0))</f>
        <v>Chariot elevateur</v>
      </c>
      <c r="D964" s="94" t="str">
        <f>IF(ISNA(VLOOKUP(Tableau13[[#This Row],[Code]],'Code Véhicule'!$A$4:$C$185,3,0)),"",VLOOKUP(Tableau13[[#This Row],[Code]],'Code Véhicule'!$A$4:$C$185,3,0))</f>
        <v>Manitou MC 30</v>
      </c>
      <c r="E964" s="92" t="str">
        <f>IF(ISNA(VLOOKUP(Tableau13[[#This Row],[Code]],'Code Véhicule'!$A$4:$D$185,4,0))," ",VLOOKUP(Tableau13[[#This Row],[Code]],'Code Véhicule'!$A$4:$D$185,4,0))</f>
        <v>-</v>
      </c>
      <c r="F964" s="92">
        <v>26947</v>
      </c>
      <c r="G964" s="94" t="s">
        <v>1811</v>
      </c>
      <c r="H964" s="94" t="s">
        <v>1812</v>
      </c>
      <c r="I964" s="92" t="s">
        <v>304</v>
      </c>
      <c r="J964" s="95" t="s">
        <v>1813</v>
      </c>
      <c r="K964" s="92" t="s">
        <v>1814</v>
      </c>
      <c r="L964" s="96">
        <v>5700</v>
      </c>
      <c r="M964" s="96">
        <v>14800</v>
      </c>
      <c r="N964" s="97">
        <v>44734</v>
      </c>
      <c r="O964" s="98"/>
      <c r="P964" s="98"/>
      <c r="Q964" s="177" t="e">
        <f>MONTH([1]!Tableau13[[#This Row],[Date début]])</f>
        <v>#REF!</v>
      </c>
      <c r="R964" s="181" t="e">
        <f>YEAR([1]!Tableau13[[#This Row],[Date début]])</f>
        <v>#REF!</v>
      </c>
      <c r="S964" s="44"/>
      <c r="T964" s="44"/>
    </row>
    <row r="965" spans="1:20" s="75" customFormat="1" ht="30">
      <c r="A965" s="91">
        <v>44674</v>
      </c>
      <c r="B965" s="92">
        <v>419</v>
      </c>
      <c r="C965" s="93" t="str">
        <f>IF(ISNA(VLOOKUP(Tableau13[[#This Row],[Code]],'Code Véhicule'!$A$4:$C$185,2,0)),"",VLOOKUP(Tableau13[[#This Row],[Code]],'Code Véhicule'!$A$4:$C$185,2,0))</f>
        <v>Voiture de fonction</v>
      </c>
      <c r="D965" s="94" t="str">
        <f>IF(ISNA(VLOOKUP(Tableau13[[#This Row],[Code]],'Code Véhicule'!$A$4:$C$185,3,0)),"",VLOOKUP(Tableau13[[#This Row],[Code]],'Code Véhicule'!$A$4:$C$185,3,0))</f>
        <v>kangoo</v>
      </c>
      <c r="E965" s="92" t="str">
        <f>IF(ISNA(VLOOKUP(Tableau13[[#This Row],[Code]],'Code Véhicule'!$A$4:$D$185,4,0))," ",VLOOKUP(Tableau13[[#This Row],[Code]],'Code Véhicule'!$A$4:$D$185,4,0))</f>
        <v>4812-A-73</v>
      </c>
      <c r="F965" s="92">
        <v>26939</v>
      </c>
      <c r="G965" s="94" t="s">
        <v>1797</v>
      </c>
      <c r="H965" s="94" t="s">
        <v>672</v>
      </c>
      <c r="I965" s="92" t="s">
        <v>304</v>
      </c>
      <c r="J965" s="95" t="s">
        <v>1798</v>
      </c>
      <c r="K965" s="92">
        <v>180689</v>
      </c>
      <c r="L965" s="96">
        <v>120</v>
      </c>
      <c r="M965" s="96">
        <v>120</v>
      </c>
      <c r="N965" s="97">
        <v>44674</v>
      </c>
      <c r="O965" s="98"/>
      <c r="P965" s="98"/>
      <c r="Q965" s="177" t="e">
        <f>MONTH([1]!Tableau13[[#This Row],[Date début]])</f>
        <v>#REF!</v>
      </c>
      <c r="R965" s="181" t="e">
        <f>YEAR([1]!Tableau13[[#This Row],[Date début]])</f>
        <v>#REF!</v>
      </c>
      <c r="S965" s="44"/>
      <c r="T965" s="44"/>
    </row>
    <row r="966" spans="1:20" s="75" customFormat="1" ht="90">
      <c r="A966" s="91">
        <v>44675</v>
      </c>
      <c r="B966" s="92">
        <v>435</v>
      </c>
      <c r="C966" s="93" t="str">
        <f>IF(ISNA(VLOOKUP(Tableau13[[#This Row],[Code]],'Code Véhicule'!$A$4:$C$185,2,0)),"",VLOOKUP(Tableau13[[#This Row],[Code]],'Code Véhicule'!$A$4:$C$185,2,0))</f>
        <v>Camion</v>
      </c>
      <c r="D966" s="94" t="str">
        <f>IF(ISNA(VLOOKUP(Tableau13[[#This Row],[Code]],'Code Véhicule'!$A$4:$C$185,3,0)),"",VLOOKUP(Tableau13[[#This Row],[Code]],'Code Véhicule'!$A$4:$C$185,3,0))</f>
        <v>Mitsubishi</v>
      </c>
      <c r="E966" s="92" t="str">
        <f>IF(ISNA(VLOOKUP(Tableau13[[#This Row],[Code]],'Code Véhicule'!$A$4:$D$185,4,0))," ",VLOOKUP(Tableau13[[#This Row],[Code]],'Code Véhicule'!$A$4:$D$185,4,0))</f>
        <v xml:space="preserve"> 11469-A-73</v>
      </c>
      <c r="F966" s="92">
        <v>26941</v>
      </c>
      <c r="G966" s="94" t="s">
        <v>1801</v>
      </c>
      <c r="H966" s="94" t="s">
        <v>1802</v>
      </c>
      <c r="I966" s="92" t="s">
        <v>304</v>
      </c>
      <c r="J966" s="95" t="s">
        <v>1803</v>
      </c>
      <c r="K966" s="92" t="s">
        <v>1804</v>
      </c>
      <c r="L966" s="96">
        <v>180</v>
      </c>
      <c r="M966" s="96">
        <v>180</v>
      </c>
      <c r="N966" s="97">
        <v>44675</v>
      </c>
      <c r="O966" s="98"/>
      <c r="P966" s="98"/>
      <c r="Q966" s="177" t="e">
        <f>MONTH([1]!Tableau13[[#This Row],[Date début]])</f>
        <v>#REF!</v>
      </c>
      <c r="R966" s="181" t="e">
        <f>YEAR([1]!Tableau13[[#This Row],[Date début]])</f>
        <v>#REF!</v>
      </c>
      <c r="S966" s="44"/>
      <c r="T966" s="44"/>
    </row>
    <row r="967" spans="1:20" s="75" customFormat="1" ht="105">
      <c r="A967" s="91">
        <v>44675</v>
      </c>
      <c r="B967" s="92">
        <v>406</v>
      </c>
      <c r="C967" s="93" t="str">
        <f>IF(ISNA(VLOOKUP(Tableau13[[#This Row],[Code]],'Code Véhicule'!$A$4:$C$185,2,0)),"",VLOOKUP(Tableau13[[#This Row],[Code]],'Code Véhicule'!$A$4:$C$185,2,0))</f>
        <v>Semi remorque</v>
      </c>
      <c r="D967" s="94" t="str">
        <f>IF(ISNA(VLOOKUP(Tableau13[[#This Row],[Code]],'Code Véhicule'!$A$4:$C$185,3,0)),"",VLOOKUP(Tableau13[[#This Row],[Code]],'Code Véhicule'!$A$4:$C$185,3,0))</f>
        <v>VOLVO</v>
      </c>
      <c r="E967" s="92" t="str">
        <f>IF(ISNA(VLOOKUP(Tableau13[[#This Row],[Code]],'Code Véhicule'!$A$4:$D$185,4,0))," ",VLOOKUP(Tableau13[[#This Row],[Code]],'Code Véhicule'!$A$4:$D$185,4,0))</f>
        <v>70352-A-6</v>
      </c>
      <c r="F967" s="92">
        <v>26946</v>
      </c>
      <c r="G967" s="94" t="s">
        <v>353</v>
      </c>
      <c r="H967" s="94" t="s">
        <v>1084</v>
      </c>
      <c r="I967" s="92" t="s">
        <v>304</v>
      </c>
      <c r="J967" s="95" t="s">
        <v>1810</v>
      </c>
      <c r="K967" s="92">
        <v>180604</v>
      </c>
      <c r="L967" s="96">
        <v>240</v>
      </c>
      <c r="M967" s="96">
        <v>240</v>
      </c>
      <c r="N967" s="97">
        <v>44675</v>
      </c>
      <c r="O967" s="98"/>
      <c r="P967" s="98"/>
      <c r="Q967" s="177" t="e">
        <f>MONTH([1]!Tableau13[[#This Row],[Date début]])</f>
        <v>#REF!</v>
      </c>
      <c r="R967" s="181" t="e">
        <f>YEAR([1]!Tableau13[[#This Row],[Date début]])</f>
        <v>#REF!</v>
      </c>
      <c r="S967" s="44"/>
      <c r="T967" s="44"/>
    </row>
    <row r="968" spans="1:20" s="75" customFormat="1" ht="105">
      <c r="A968" s="91">
        <v>44677</v>
      </c>
      <c r="B968" s="92">
        <v>438</v>
      </c>
      <c r="C968" s="93" t="str">
        <f>IF(ISNA(VLOOKUP(Tableau13[[#This Row],[Code]],'Code Véhicule'!$A$4:$C$185,2,0)),"",VLOOKUP(Tableau13[[#This Row],[Code]],'Code Véhicule'!$A$4:$C$185,2,0))</f>
        <v>Semi remorque</v>
      </c>
      <c r="D968" s="94" t="str">
        <f>IF(ISNA(VLOOKUP(Tableau13[[#This Row],[Code]],'Code Véhicule'!$A$4:$C$185,3,0)),"",VLOOKUP(Tableau13[[#This Row],[Code]],'Code Véhicule'!$A$4:$C$185,3,0))</f>
        <v>VOLVO</v>
      </c>
      <c r="E968" s="92" t="str">
        <f>IF(ISNA(VLOOKUP(Tableau13[[#This Row],[Code]],'Code Véhicule'!$A$4:$D$185,4,0))," ",VLOOKUP(Tableau13[[#This Row],[Code]],'Code Véhicule'!$A$4:$D$185,4,0))</f>
        <v xml:space="preserve">17885-A-73 </v>
      </c>
      <c r="F968" s="92">
        <v>26938</v>
      </c>
      <c r="G968" s="94" t="s">
        <v>610</v>
      </c>
      <c r="H968" s="94" t="s">
        <v>1794</v>
      </c>
      <c r="I968" s="92" t="s">
        <v>304</v>
      </c>
      <c r="J968" s="95" t="s">
        <v>1795</v>
      </c>
      <c r="K968" s="92" t="s">
        <v>1796</v>
      </c>
      <c r="L968" s="96">
        <v>1710</v>
      </c>
      <c r="M968" s="96">
        <v>1710</v>
      </c>
      <c r="N968" s="97">
        <v>44680</v>
      </c>
      <c r="O968" s="98"/>
      <c r="P968" s="98"/>
      <c r="Q968" s="177" t="e">
        <f>MONTH([1]!Tableau13[[#This Row],[Date début]])</f>
        <v>#REF!</v>
      </c>
      <c r="R968" s="181" t="e">
        <f>YEAR([1]!Tableau13[[#This Row],[Date début]])</f>
        <v>#REF!</v>
      </c>
      <c r="S968" s="44"/>
      <c r="T968" s="44"/>
    </row>
    <row r="969" spans="1:20" s="75" customFormat="1" ht="30">
      <c r="A969" s="91">
        <v>44677</v>
      </c>
      <c r="B969" s="92">
        <v>413</v>
      </c>
      <c r="C969" s="93" t="str">
        <f>IF(ISNA(VLOOKUP(Tableau13[[#This Row],[Code]],'Code Véhicule'!$A$4:$C$185,2,0)),"",VLOOKUP(Tableau13[[#This Row],[Code]],'Code Véhicule'!$A$4:$C$185,2,0))</f>
        <v>Chargeur</v>
      </c>
      <c r="D969" s="94" t="str">
        <f>IF(ISNA(VLOOKUP(Tableau13[[#This Row],[Code]],'Code Véhicule'!$A$4:$C$185,3,0)),"",VLOOKUP(Tableau13[[#This Row],[Code]],'Code Véhicule'!$A$4:$C$185,3,0))</f>
        <v>Caterpillar</v>
      </c>
      <c r="E969" s="92" t="str">
        <f>IF(ISNA(VLOOKUP(Tableau13[[#This Row],[Code]],'Code Véhicule'!$A$4:$D$185,4,0))," ",VLOOKUP(Tableau13[[#This Row],[Code]],'Code Véhicule'!$A$4:$D$185,4,0))</f>
        <v>-</v>
      </c>
      <c r="F969" s="92">
        <v>26944</v>
      </c>
      <c r="G969" s="94" t="s">
        <v>511</v>
      </c>
      <c r="H969" s="94" t="s">
        <v>698</v>
      </c>
      <c r="I969" s="92" t="s">
        <v>304</v>
      </c>
      <c r="J969" s="95" t="s">
        <v>718</v>
      </c>
      <c r="K969" s="92">
        <v>180939</v>
      </c>
      <c r="L969" s="96">
        <v>60</v>
      </c>
      <c r="M969" s="96">
        <v>60</v>
      </c>
      <c r="N969" s="97">
        <v>44677</v>
      </c>
      <c r="O969" s="98"/>
      <c r="P969" s="98"/>
      <c r="Q969" s="177" t="e">
        <f>MONTH([1]!Tableau13[[#This Row],[Date début]])</f>
        <v>#REF!</v>
      </c>
      <c r="R969" s="181" t="e">
        <f>YEAR([1]!Tableau13[[#This Row],[Date début]])</f>
        <v>#REF!</v>
      </c>
      <c r="S969" s="44"/>
      <c r="T969" s="44"/>
    </row>
    <row r="970" spans="1:20" s="75" customFormat="1" ht="60">
      <c r="A970" s="91">
        <v>44678</v>
      </c>
      <c r="B970" s="92">
        <v>480</v>
      </c>
      <c r="C970" s="93" t="str">
        <f>IF(ISNA(VLOOKUP(Tableau13[[#This Row],[Code]],'Code Véhicule'!$A$4:$C$185,2,0)),"",VLOOKUP(Tableau13[[#This Row],[Code]],'Code Véhicule'!$A$4:$C$185,2,0))</f>
        <v>Camion</v>
      </c>
      <c r="D970" s="94" t="str">
        <f>IF(ISNA(VLOOKUP(Tableau13[[#This Row],[Code]],'Code Véhicule'!$A$4:$C$185,3,0)),"",VLOOKUP(Tableau13[[#This Row],[Code]],'Code Véhicule'!$A$4:$C$185,3,0))</f>
        <v>VOLVO</v>
      </c>
      <c r="E970" s="92" t="str">
        <f>IF(ISNA(VLOOKUP(Tableau13[[#This Row],[Code]],'Code Véhicule'!$A$4:$D$185,4,0))," ",VLOOKUP(Tableau13[[#This Row],[Code]],'Code Véhicule'!$A$4:$D$185,4,0))</f>
        <v>22299-A-73</v>
      </c>
      <c r="F970" s="92">
        <v>26945</v>
      </c>
      <c r="G970" s="94" t="s">
        <v>774</v>
      </c>
      <c r="H970" s="94" t="s">
        <v>652</v>
      </c>
      <c r="I970" s="92" t="s">
        <v>304</v>
      </c>
      <c r="J970" s="95" t="s">
        <v>1808</v>
      </c>
      <c r="K970" s="92" t="s">
        <v>1809</v>
      </c>
      <c r="L970" s="96">
        <v>1710</v>
      </c>
      <c r="M970" s="96">
        <v>1710</v>
      </c>
      <c r="N970" s="97">
        <v>44706</v>
      </c>
      <c r="O970" s="98"/>
      <c r="P970" s="98"/>
      <c r="Q970" s="177" t="e">
        <f>MONTH([1]!Tableau13[[#This Row],[Date début]])</f>
        <v>#REF!</v>
      </c>
      <c r="R970" s="181" t="e">
        <f>YEAR([1]!Tableau13[[#This Row],[Date début]])</f>
        <v>#REF!</v>
      </c>
      <c r="S970" s="44"/>
      <c r="T970" s="44"/>
    </row>
    <row r="971" spans="1:20" s="75" customFormat="1" ht="90">
      <c r="A971" s="91">
        <v>44681</v>
      </c>
      <c r="B971" s="92">
        <v>410</v>
      </c>
      <c r="C971" s="93" t="str">
        <f>IF(ISNA(VLOOKUP(Tableau13[[#This Row],[Code]],'Code Véhicule'!$A$4:$C$185,2,0)),"",VLOOKUP(Tableau13[[#This Row],[Code]],'Code Véhicule'!$A$4:$C$185,2,0))</f>
        <v>Semi remorque</v>
      </c>
      <c r="D971" s="94" t="str">
        <f>IF(ISNA(VLOOKUP(Tableau13[[#This Row],[Code]],'Code Véhicule'!$A$4:$C$185,3,0)),"",VLOOKUP(Tableau13[[#This Row],[Code]],'Code Véhicule'!$A$4:$C$185,3,0))</f>
        <v>MAN</v>
      </c>
      <c r="E971" s="92" t="str">
        <f>IF(ISNA(VLOOKUP(Tableau13[[#This Row],[Code]],'Code Véhicule'!$A$4:$D$185,4,0))," ",VLOOKUP(Tableau13[[#This Row],[Code]],'Code Véhicule'!$A$4:$D$185,4,0))</f>
        <v xml:space="preserve">28659-D-1 </v>
      </c>
      <c r="F971" s="92">
        <v>26948</v>
      </c>
      <c r="G971" s="94" t="s">
        <v>393</v>
      </c>
      <c r="H971" s="94" t="s">
        <v>608</v>
      </c>
      <c r="I971" s="92" t="s">
        <v>304</v>
      </c>
      <c r="J971" s="95" t="s">
        <v>1815</v>
      </c>
      <c r="K971" s="92">
        <v>181609</v>
      </c>
      <c r="L971" s="96">
        <v>120</v>
      </c>
      <c r="M971" s="96">
        <v>120</v>
      </c>
      <c r="N971" s="97">
        <v>44681</v>
      </c>
      <c r="O971" s="98"/>
      <c r="P971" s="98"/>
      <c r="Q971" s="177" t="e">
        <f>MONTH([1]!Tableau13[[#This Row],[Date début]])</f>
        <v>#REF!</v>
      </c>
      <c r="R971" s="181" t="e">
        <f>YEAR([1]!Tableau13[[#This Row],[Date début]])</f>
        <v>#REF!</v>
      </c>
      <c r="S971" s="44"/>
      <c r="T971" s="44"/>
    </row>
    <row r="972" spans="1:20" s="75" customFormat="1" ht="23.25">
      <c r="A972" s="91">
        <v>44682</v>
      </c>
      <c r="B972" s="92">
        <v>431</v>
      </c>
      <c r="C972" s="93" t="str">
        <f>IF(ISNA(VLOOKUP(Tableau13[[#This Row],[Code]],'Code Véhicule'!$A$4:$C$185,2,0)),"",VLOOKUP(Tableau13[[#This Row],[Code]],'Code Véhicule'!$A$4:$C$185,2,0))</f>
        <v>Chariot elevateur</v>
      </c>
      <c r="D972" s="94" t="str">
        <f>IF(ISNA(VLOOKUP(Tableau13[[#This Row],[Code]],'Code Véhicule'!$A$4:$C$185,3,0)),"",VLOOKUP(Tableau13[[#This Row],[Code]],'Code Véhicule'!$A$4:$C$185,3,0))</f>
        <v>Manitou M26-2</v>
      </c>
      <c r="E972" s="92" t="str">
        <f>IF(ISNA(VLOOKUP(Tableau13[[#This Row],[Code]],'Code Véhicule'!$A$4:$D$185,4,0))," ",VLOOKUP(Tableau13[[#This Row],[Code]],'Code Véhicule'!$A$4:$D$185,4,0))</f>
        <v>-</v>
      </c>
      <c r="F972" s="92"/>
      <c r="G972" s="94"/>
      <c r="H972" s="94"/>
      <c r="I972" s="92"/>
      <c r="J972" s="39" t="s">
        <v>1907</v>
      </c>
      <c r="K972" s="92"/>
      <c r="L972" s="96"/>
      <c r="M972" s="96">
        <v>14820</v>
      </c>
      <c r="N972" s="97">
        <v>44711</v>
      </c>
      <c r="O972" s="98"/>
      <c r="P972" s="98"/>
      <c r="Q972" s="177" t="e">
        <f>MONTH([1]!Tableau13[[#This Row],[Date début]])</f>
        <v>#REF!</v>
      </c>
      <c r="R972" s="181" t="e">
        <f>YEAR([1]!Tableau13[[#This Row],[Date début]])</f>
        <v>#REF!</v>
      </c>
      <c r="S972" s="44"/>
      <c r="T972" s="44"/>
    </row>
    <row r="973" spans="1:20" s="75" customFormat="1" ht="45">
      <c r="A973" s="91">
        <v>44683</v>
      </c>
      <c r="B973" s="92">
        <v>414</v>
      </c>
      <c r="C973" s="93" t="str">
        <f>IF(ISNA(VLOOKUP(Tableau13[[#This Row],[Code]],'Code Véhicule'!$A$4:$C$185,2,0)),"",VLOOKUP(Tableau13[[#This Row],[Code]],'Code Véhicule'!$A$4:$C$185,2,0))</f>
        <v>Balayeuse</v>
      </c>
      <c r="D973" s="94" t="str">
        <f>IF(ISNA(VLOOKUP(Tableau13[[#This Row],[Code]],'Code Véhicule'!$A$4:$C$185,3,0)),"",VLOOKUP(Tableau13[[#This Row],[Code]],'Code Véhicule'!$A$4:$C$185,3,0))</f>
        <v>Bobcat</v>
      </c>
      <c r="E973" s="92" t="str">
        <f>IF(ISNA(VLOOKUP(Tableau13[[#This Row],[Code]],'Code Véhicule'!$A$4:$D$185,4,0))," ",VLOOKUP(Tableau13[[#This Row],[Code]],'Code Véhicule'!$A$4:$D$185,4,0))</f>
        <v>-</v>
      </c>
      <c r="F973" s="92">
        <v>26928</v>
      </c>
      <c r="G973" s="94" t="s">
        <v>1775</v>
      </c>
      <c r="H973" s="94" t="s">
        <v>1776</v>
      </c>
      <c r="I973" s="92" t="s">
        <v>304</v>
      </c>
      <c r="J973" s="95" t="s">
        <v>1777</v>
      </c>
      <c r="K973" s="92" t="s">
        <v>1778</v>
      </c>
      <c r="L973" s="96">
        <v>11400</v>
      </c>
      <c r="M973" s="96">
        <v>11400</v>
      </c>
      <c r="N973" s="97">
        <v>44691</v>
      </c>
      <c r="O973" s="98"/>
      <c r="P973" s="98"/>
      <c r="Q973" s="177" t="e">
        <f>MONTH([1]!Tableau13[[#This Row],[Date début]])</f>
        <v>#REF!</v>
      </c>
      <c r="R973" s="181" t="e">
        <f>YEAR([1]!Tableau13[[#This Row],[Date début]])</f>
        <v>#REF!</v>
      </c>
      <c r="S973" s="44"/>
      <c r="T973" s="44"/>
    </row>
    <row r="974" spans="1:20" s="75" customFormat="1" ht="23.25">
      <c r="A974" s="91">
        <v>44686</v>
      </c>
      <c r="B974" s="92">
        <v>430</v>
      </c>
      <c r="C974" s="93" t="str">
        <f>IF(ISNA(VLOOKUP(Tableau13[[#This Row],[Code]],'Code Véhicule'!$A$4:$C$185,2,0)),"",VLOOKUP(Tableau13[[#This Row],[Code]],'Code Véhicule'!$A$4:$C$185,2,0))</f>
        <v>Chariot elevateur</v>
      </c>
      <c r="D974" s="94" t="str">
        <f>IF(ISNA(VLOOKUP(Tableau13[[#This Row],[Code]],'Code Véhicule'!$A$4:$C$185,3,0)),"",VLOOKUP(Tableau13[[#This Row],[Code]],'Code Véhicule'!$A$4:$C$185,3,0))</f>
        <v>Fenwick  H40</v>
      </c>
      <c r="E974" s="92" t="str">
        <f>IF(ISNA(VLOOKUP(Tableau13[[#This Row],[Code]],'Code Véhicule'!$A$4:$D$185,4,0))," ",VLOOKUP(Tableau13[[#This Row],[Code]],'Code Véhicule'!$A$4:$D$185,4,0))</f>
        <v>-</v>
      </c>
      <c r="F974" s="92">
        <v>26949</v>
      </c>
      <c r="G974" s="94" t="s">
        <v>1016</v>
      </c>
      <c r="H974" s="94" t="s">
        <v>652</v>
      </c>
      <c r="I974" s="92" t="s">
        <v>304</v>
      </c>
      <c r="J974" s="95" t="s">
        <v>1816</v>
      </c>
      <c r="K974" s="92">
        <v>181162</v>
      </c>
      <c r="L974" s="96">
        <v>180</v>
      </c>
      <c r="M974" s="96">
        <v>180</v>
      </c>
      <c r="N974" s="97">
        <v>44686</v>
      </c>
      <c r="O974" s="98"/>
      <c r="P974" s="98"/>
      <c r="Q974" s="177" t="e">
        <f>MONTH([1]!Tableau13[[#This Row],[Date début]])</f>
        <v>#REF!</v>
      </c>
      <c r="R974" s="181" t="e">
        <f>YEAR([1]!Tableau13[[#This Row],[Date début]])</f>
        <v>#REF!</v>
      </c>
      <c r="S974" s="44"/>
      <c r="T974" s="44"/>
    </row>
    <row r="975" spans="1:20" s="75" customFormat="1" ht="60">
      <c r="A975" s="91">
        <v>44686</v>
      </c>
      <c r="B975" s="92">
        <v>417</v>
      </c>
      <c r="C975" s="93" t="str">
        <f>IF(ISNA(VLOOKUP(Tableau13[[#This Row],[Code]],'Code Véhicule'!$A$4:$C$185,2,0)),"",VLOOKUP(Tableau13[[#This Row],[Code]],'Code Véhicule'!$A$4:$C$185,2,0))</f>
        <v>Voiture de fonction</v>
      </c>
      <c r="D975" s="94" t="str">
        <f>IF(ISNA(VLOOKUP(Tableau13[[#This Row],[Code]],'Code Véhicule'!$A$4:$C$185,3,0)),"",VLOOKUP(Tableau13[[#This Row],[Code]],'Code Véhicule'!$A$4:$C$185,3,0))</f>
        <v>Berlingo</v>
      </c>
      <c r="E975" s="92" t="str">
        <f>IF(ISNA(VLOOKUP(Tableau13[[#This Row],[Code]],'Code Véhicule'!$A$4:$D$185,4,0))," ",VLOOKUP(Tableau13[[#This Row],[Code]],'Code Véhicule'!$A$4:$D$185,4,0))</f>
        <v>981-A-73</v>
      </c>
      <c r="F975" s="92">
        <v>26950</v>
      </c>
      <c r="G975" s="94" t="s">
        <v>393</v>
      </c>
      <c r="H975" s="94" t="s">
        <v>608</v>
      </c>
      <c r="I975" s="92" t="s">
        <v>302</v>
      </c>
      <c r="J975" s="95" t="s">
        <v>1817</v>
      </c>
      <c r="K975" s="92">
        <v>181614</v>
      </c>
      <c r="L975" s="96">
        <v>120</v>
      </c>
      <c r="M975" s="96">
        <v>120</v>
      </c>
      <c r="N975" s="97">
        <v>44686</v>
      </c>
      <c r="O975" s="98"/>
      <c r="P975" s="98"/>
      <c r="Q975" s="177" t="e">
        <f>MONTH([1]!Tableau13[[#This Row],[Date début]])</f>
        <v>#REF!</v>
      </c>
      <c r="R975" s="181" t="e">
        <f>YEAR([1]!Tableau13[[#This Row],[Date début]])</f>
        <v>#REF!</v>
      </c>
      <c r="S975" s="44"/>
      <c r="T975" s="44"/>
    </row>
    <row r="976" spans="1:20" s="75" customFormat="1" ht="90">
      <c r="A976" s="91">
        <v>44691</v>
      </c>
      <c r="B976" s="92">
        <v>435</v>
      </c>
      <c r="C976" s="93" t="str">
        <f>IF(ISNA(VLOOKUP(Tableau13[[#This Row],[Code]],'Code Véhicule'!$A$4:$C$185,2,0)),"",VLOOKUP(Tableau13[[#This Row],[Code]],'Code Véhicule'!$A$4:$C$185,2,0))</f>
        <v>Camion</v>
      </c>
      <c r="D976" s="94" t="str">
        <f>IF(ISNA(VLOOKUP(Tableau13[[#This Row],[Code]],'Code Véhicule'!$A$4:$C$185,3,0)),"",VLOOKUP(Tableau13[[#This Row],[Code]],'Code Véhicule'!$A$4:$C$185,3,0))</f>
        <v>Mitsubishi</v>
      </c>
      <c r="E976" s="92" t="str">
        <f>IF(ISNA(VLOOKUP(Tableau13[[#This Row],[Code]],'Code Véhicule'!$A$4:$D$185,4,0))," ",VLOOKUP(Tableau13[[#This Row],[Code]],'Code Véhicule'!$A$4:$D$185,4,0))</f>
        <v xml:space="preserve"> 11469-A-73</v>
      </c>
      <c r="F976" s="92">
        <v>26751</v>
      </c>
      <c r="G976" s="94" t="s">
        <v>393</v>
      </c>
      <c r="H976" s="94" t="s">
        <v>608</v>
      </c>
      <c r="I976" s="92" t="s">
        <v>304</v>
      </c>
      <c r="J976" s="95" t="s">
        <v>1818</v>
      </c>
      <c r="K976" s="92">
        <v>181629</v>
      </c>
      <c r="L976" s="96">
        <v>120</v>
      </c>
      <c r="M976" s="96">
        <v>120</v>
      </c>
      <c r="N976" s="97">
        <v>44691</v>
      </c>
      <c r="O976" s="98"/>
      <c r="P976" s="98"/>
      <c r="Q976" s="177" t="e">
        <f>MONTH([1]!Tableau13[[#This Row],[Date début]])</f>
        <v>#REF!</v>
      </c>
      <c r="R976" s="181" t="e">
        <f>YEAR([1]!Tableau13[[#This Row],[Date début]])</f>
        <v>#REF!</v>
      </c>
      <c r="S976" s="44"/>
      <c r="T976" s="44"/>
    </row>
    <row r="977" spans="1:20" s="75" customFormat="1" ht="60">
      <c r="A977" s="91">
        <v>44694</v>
      </c>
      <c r="B977" s="92">
        <v>429</v>
      </c>
      <c r="C977" s="93" t="str">
        <f>IF(ISNA(VLOOKUP(Tableau13[[#This Row],[Code]],'Code Véhicule'!$A$4:$C$185,2,0)),"",VLOOKUP(Tableau13[[#This Row],[Code]],'Code Véhicule'!$A$4:$C$185,2,0))</f>
        <v>Chariot elevateur</v>
      </c>
      <c r="D977" s="94" t="str">
        <f>IF(ISNA(VLOOKUP(Tableau13[[#This Row],[Code]],'Code Véhicule'!$A$4:$C$185,3,0)),"",VLOOKUP(Tableau13[[#This Row],[Code]],'Code Véhicule'!$A$4:$C$185,3,0))</f>
        <v>Fenwick HD30</v>
      </c>
      <c r="E977" s="92" t="str">
        <f>IF(ISNA(VLOOKUP(Tableau13[[#This Row],[Code]],'Code Véhicule'!$A$4:$D$185,4,0))," ",VLOOKUP(Tableau13[[#This Row],[Code]],'Code Véhicule'!$A$4:$D$185,4,0))</f>
        <v>-</v>
      </c>
      <c r="F977" s="92">
        <v>26755</v>
      </c>
      <c r="G977" s="94" t="s">
        <v>843</v>
      </c>
      <c r="H977" s="94" t="s">
        <v>1828</v>
      </c>
      <c r="I977" s="92" t="s">
        <v>304</v>
      </c>
      <c r="J977" s="94" t="s">
        <v>1829</v>
      </c>
      <c r="K977" s="92">
        <v>181862</v>
      </c>
      <c r="L977" s="96">
        <f>5*570</f>
        <v>2850</v>
      </c>
      <c r="M977" s="96">
        <f>13*570</f>
        <v>7410</v>
      </c>
      <c r="N977" s="97">
        <v>44707</v>
      </c>
      <c r="O977" s="98"/>
      <c r="P977" s="98"/>
      <c r="Q977" s="177" t="e">
        <f>MONTH([1]!Tableau13[[#This Row],[Date début]])</f>
        <v>#REF!</v>
      </c>
      <c r="R977" s="181" t="e">
        <f>YEAR([1]!Tableau13[[#This Row],[Date début]])</f>
        <v>#REF!</v>
      </c>
      <c r="S977" s="44"/>
      <c r="T977" s="44"/>
    </row>
    <row r="978" spans="1:20" s="75" customFormat="1" ht="45">
      <c r="A978" s="91">
        <v>44695</v>
      </c>
      <c r="B978" s="92">
        <v>429</v>
      </c>
      <c r="C978" s="93" t="str">
        <f>IF(ISNA(VLOOKUP(Tableau13[[#This Row],[Code]],'Code Véhicule'!$A$4:$C$185,2,0)),"",VLOOKUP(Tableau13[[#This Row],[Code]],'Code Véhicule'!$A$4:$C$185,2,0))</f>
        <v>Chariot elevateur</v>
      </c>
      <c r="D978" s="94" t="str">
        <f>IF(ISNA(VLOOKUP(Tableau13[[#This Row],[Code]],'Code Véhicule'!$A$4:$C$185,3,0)),"",VLOOKUP(Tableau13[[#This Row],[Code]],'Code Véhicule'!$A$4:$C$185,3,0))</f>
        <v>Fenwick HD30</v>
      </c>
      <c r="E978" s="92" t="str">
        <f>IF(ISNA(VLOOKUP(Tableau13[[#This Row],[Code]],'Code Véhicule'!$A$4:$D$185,4,0))," ",VLOOKUP(Tableau13[[#This Row],[Code]],'Code Véhicule'!$A$4:$D$185,4,0))</f>
        <v>-</v>
      </c>
      <c r="F978" s="92">
        <v>26766</v>
      </c>
      <c r="G978" s="94" t="s">
        <v>1016</v>
      </c>
      <c r="H978" s="94" t="s">
        <v>757</v>
      </c>
      <c r="I978" s="92" t="s">
        <v>304</v>
      </c>
      <c r="J978" s="95" t="s">
        <v>1846</v>
      </c>
      <c r="K978" s="92" t="s">
        <v>1847</v>
      </c>
      <c r="L978" s="96">
        <v>2280</v>
      </c>
      <c r="M978" s="96">
        <v>8550</v>
      </c>
      <c r="N978" s="97">
        <v>44719</v>
      </c>
      <c r="O978" s="98"/>
      <c r="P978" s="98"/>
      <c r="Q978" s="177" t="e">
        <f>MONTH([1]!Tableau13[[#This Row],[Date début]])</f>
        <v>#REF!</v>
      </c>
      <c r="R978" s="181" t="e">
        <f>YEAR([1]!Tableau13[[#This Row],[Date début]])</f>
        <v>#REF!</v>
      </c>
      <c r="S978" s="44"/>
      <c r="T978" s="44"/>
    </row>
    <row r="979" spans="1:20" s="75" customFormat="1" ht="30">
      <c r="A979" s="91">
        <v>44696</v>
      </c>
      <c r="B979" s="92">
        <v>407</v>
      </c>
      <c r="C979" s="93" t="str">
        <f>IF(ISNA(VLOOKUP(Tableau13[[#This Row],[Code]],'Code Véhicule'!$A$4:$C$185,2,0)),"",VLOOKUP(Tableau13[[#This Row],[Code]],'Code Véhicule'!$A$4:$C$185,2,0))</f>
        <v>Semi remorque</v>
      </c>
      <c r="D979" s="94" t="str">
        <f>IF(ISNA(VLOOKUP(Tableau13[[#This Row],[Code]],'Code Véhicule'!$A$4:$C$185,3,0)),"",VLOOKUP(Tableau13[[#This Row],[Code]],'Code Véhicule'!$A$4:$C$185,3,0))</f>
        <v>MAN</v>
      </c>
      <c r="E979" s="92" t="str">
        <f>IF(ISNA(VLOOKUP(Tableau13[[#This Row],[Code]],'Code Véhicule'!$A$4:$D$185,4,0))," ",VLOOKUP(Tableau13[[#This Row],[Code]],'Code Véhicule'!$A$4:$D$185,4,0))</f>
        <v>706-A-73</v>
      </c>
      <c r="F979" s="92">
        <v>26752</v>
      </c>
      <c r="G979" s="94" t="s">
        <v>1016</v>
      </c>
      <c r="H979" s="94" t="s">
        <v>1819</v>
      </c>
      <c r="I979" s="92" t="s">
        <v>304</v>
      </c>
      <c r="J979" s="39" t="s">
        <v>1820</v>
      </c>
      <c r="K979" s="92">
        <v>181641</v>
      </c>
      <c r="L979" s="96">
        <v>2280</v>
      </c>
      <c r="M979" s="96">
        <v>2850</v>
      </c>
      <c r="N979" s="97">
        <v>44696</v>
      </c>
      <c r="O979" s="98"/>
      <c r="P979" s="98"/>
      <c r="Q979" s="177" t="e">
        <f>MONTH([1]!Tableau13[[#This Row],[Date début]])</f>
        <v>#REF!</v>
      </c>
      <c r="R979" s="181" t="e">
        <f>YEAR([1]!Tableau13[[#This Row],[Date début]])</f>
        <v>#REF!</v>
      </c>
      <c r="S979" s="44"/>
      <c r="T979" s="44"/>
    </row>
    <row r="980" spans="1:20" s="75" customFormat="1" ht="75">
      <c r="A980" s="91">
        <v>44697</v>
      </c>
      <c r="B980" s="92">
        <v>407</v>
      </c>
      <c r="C980" s="93" t="str">
        <f>IF(ISNA(VLOOKUP(Tableau13[[#This Row],[Code]],'Code Véhicule'!$A$4:$C$185,2,0)),"",VLOOKUP(Tableau13[[#This Row],[Code]],'Code Véhicule'!$A$4:$C$185,2,0))</f>
        <v>Semi remorque</v>
      </c>
      <c r="D980" s="94" t="str">
        <f>IF(ISNA(VLOOKUP(Tableau13[[#This Row],[Code]],'Code Véhicule'!$A$4:$C$185,3,0)),"",VLOOKUP(Tableau13[[#This Row],[Code]],'Code Véhicule'!$A$4:$C$185,3,0))</f>
        <v>MAN</v>
      </c>
      <c r="E980" s="92" t="str">
        <f>IF(ISNA(VLOOKUP(Tableau13[[#This Row],[Code]],'Code Véhicule'!$A$4:$D$185,4,0))," ",VLOOKUP(Tableau13[[#This Row],[Code]],'Code Véhicule'!$A$4:$D$185,4,0))</f>
        <v>706-A-73</v>
      </c>
      <c r="F980" s="92">
        <v>26754</v>
      </c>
      <c r="G980" s="94" t="s">
        <v>1824</v>
      </c>
      <c r="H980" s="94" t="s">
        <v>1825</v>
      </c>
      <c r="I980" s="92" t="s">
        <v>304</v>
      </c>
      <c r="J980" s="95" t="s">
        <v>1826</v>
      </c>
      <c r="K980" s="92" t="s">
        <v>1827</v>
      </c>
      <c r="L980" s="96">
        <v>3420</v>
      </c>
      <c r="M980" s="96">
        <v>3420</v>
      </c>
      <c r="N980" s="97">
        <v>44711</v>
      </c>
      <c r="O980" s="98"/>
      <c r="P980" s="98"/>
      <c r="Q980" s="177" t="e">
        <f>MONTH([1]!Tableau13[[#This Row],[Date début]])</f>
        <v>#REF!</v>
      </c>
      <c r="R980" s="181" t="e">
        <f>YEAR([1]!Tableau13[[#This Row],[Date début]])</f>
        <v>#REF!</v>
      </c>
      <c r="S980" s="44"/>
      <c r="T980" s="44"/>
    </row>
    <row r="981" spans="1:20" s="75" customFormat="1" ht="90">
      <c r="A981" s="91">
        <v>44699</v>
      </c>
      <c r="B981" s="92">
        <v>433</v>
      </c>
      <c r="C981" s="93" t="str">
        <f>IF(ISNA(VLOOKUP(Tableau13[[#This Row],[Code]],'Code Véhicule'!$A$4:$C$185,2,0)),"",VLOOKUP(Tableau13[[#This Row],[Code]],'Code Véhicule'!$A$4:$C$185,2,0))</f>
        <v>Voiture de fonction</v>
      </c>
      <c r="D981" s="94" t="str">
        <f>IF(ISNA(VLOOKUP(Tableau13[[#This Row],[Code]],'Code Véhicule'!$A$4:$C$185,3,0)),"",VLOOKUP(Tableau13[[#This Row],[Code]],'Code Véhicule'!$A$4:$C$185,3,0))</f>
        <v>Berlingo</v>
      </c>
      <c r="E981" s="92" t="str">
        <f>IF(ISNA(VLOOKUP(Tableau13[[#This Row],[Code]],'Code Véhicule'!$A$4:$D$185,4,0))," ",VLOOKUP(Tableau13[[#This Row],[Code]],'Code Véhicule'!$A$4:$D$185,4,0))</f>
        <v>10551-A-73</v>
      </c>
      <c r="F981" s="92">
        <v>26753</v>
      </c>
      <c r="G981" s="94" t="s">
        <v>1821</v>
      </c>
      <c r="H981" s="94" t="s">
        <v>1822</v>
      </c>
      <c r="I981" s="92" t="s">
        <v>304</v>
      </c>
      <c r="J981" s="39" t="s">
        <v>1823</v>
      </c>
      <c r="K981" s="92">
        <v>181642</v>
      </c>
      <c r="L981" s="96">
        <v>1140</v>
      </c>
      <c r="M981" s="96">
        <v>1170</v>
      </c>
      <c r="N981" s="97">
        <v>44701</v>
      </c>
      <c r="O981" s="98"/>
      <c r="P981" s="98"/>
      <c r="Q981" s="177" t="e">
        <f>MONTH([1]!Tableau13[[#This Row],[Date début]])</f>
        <v>#REF!</v>
      </c>
      <c r="R981" s="181" t="e">
        <f>YEAR([1]!Tableau13[[#This Row],[Date début]])</f>
        <v>#REF!</v>
      </c>
      <c r="S981" s="44"/>
      <c r="T981" s="44"/>
    </row>
    <row r="982" spans="1:20" s="75" customFormat="1" ht="45">
      <c r="A982" s="91">
        <v>44701</v>
      </c>
      <c r="B982" s="92">
        <v>403</v>
      </c>
      <c r="C982" s="93" t="str">
        <f>IF(ISNA(VLOOKUP(Tableau13[[#This Row],[Code]],'Code Véhicule'!$A$4:$C$185,2,0)),"",VLOOKUP(Tableau13[[#This Row],[Code]],'Code Véhicule'!$A$4:$C$185,2,0))</f>
        <v>Camion</v>
      </c>
      <c r="D982" s="94" t="str">
        <f>IF(ISNA(VLOOKUP(Tableau13[[#This Row],[Code]],'Code Véhicule'!$A$4:$C$185,3,0)),"",VLOOKUP(Tableau13[[#This Row],[Code]],'Code Véhicule'!$A$4:$C$185,3,0))</f>
        <v>MAN</v>
      </c>
      <c r="E982" s="92" t="str">
        <f>IF(ISNA(VLOOKUP(Tableau13[[#This Row],[Code]],'Code Véhicule'!$A$4:$D$185,4,0))," ",VLOOKUP(Tableau13[[#This Row],[Code]],'Code Véhicule'!$A$4:$D$185,4,0))</f>
        <v>4790-B-8</v>
      </c>
      <c r="F982" s="92">
        <v>26761</v>
      </c>
      <c r="G982" s="94" t="s">
        <v>1836</v>
      </c>
      <c r="H982" s="94" t="s">
        <v>1837</v>
      </c>
      <c r="I982" s="92" t="s">
        <v>304</v>
      </c>
      <c r="J982" s="94" t="s">
        <v>1838</v>
      </c>
      <c r="K982" s="92" t="s">
        <v>1839</v>
      </c>
      <c r="L982" s="96">
        <v>2840</v>
      </c>
      <c r="M982" s="96">
        <v>2840</v>
      </c>
      <c r="N982" s="97">
        <v>44711</v>
      </c>
      <c r="O982" s="98"/>
      <c r="P982" s="98"/>
      <c r="Q982" s="177" t="e">
        <f>MONTH([1]!Tableau13[[#This Row],[Date début]])</f>
        <v>#REF!</v>
      </c>
      <c r="R982" s="181" t="e">
        <f>YEAR([1]!Tableau13[[#This Row],[Date début]])</f>
        <v>#REF!</v>
      </c>
      <c r="S982" s="44"/>
      <c r="T982" s="44"/>
    </row>
    <row r="983" spans="1:20" s="75" customFormat="1" ht="30">
      <c r="A983" s="91">
        <v>44701</v>
      </c>
      <c r="B983" s="92">
        <v>409</v>
      </c>
      <c r="C983" s="93" t="str">
        <f>IF(ISNA(VLOOKUP(Tableau13[[#This Row],[Code]],'Code Véhicule'!$A$4:$C$185,2,0)),"",VLOOKUP(Tableau13[[#This Row],[Code]],'Code Véhicule'!$A$4:$C$185,2,0))</f>
        <v>Camion</v>
      </c>
      <c r="D983" s="94" t="str">
        <f>IF(ISNA(VLOOKUP(Tableau13[[#This Row],[Code]],'Code Véhicule'!$A$4:$C$185,3,0)),"",VLOOKUP(Tableau13[[#This Row],[Code]],'Code Véhicule'!$A$4:$C$185,3,0))</f>
        <v>Mitsubishi</v>
      </c>
      <c r="E983" s="92" t="str">
        <f>IF(ISNA(VLOOKUP(Tableau13[[#This Row],[Code]],'Code Véhicule'!$A$4:$D$185,4,0))," ",VLOOKUP(Tableau13[[#This Row],[Code]],'Code Véhicule'!$A$4:$D$185,4,0))</f>
        <v xml:space="preserve">4969-A-73 </v>
      </c>
      <c r="F983" s="92">
        <v>26763</v>
      </c>
      <c r="G983" s="94" t="s">
        <v>1016</v>
      </c>
      <c r="H983" s="94" t="s">
        <v>1017</v>
      </c>
      <c r="I983" s="92" t="s">
        <v>304</v>
      </c>
      <c r="J983" s="95" t="s">
        <v>1842</v>
      </c>
      <c r="K983" s="92" t="s">
        <v>1843</v>
      </c>
      <c r="L983" s="96">
        <v>1710</v>
      </c>
      <c r="M983" s="96">
        <f>570*6</f>
        <v>3420</v>
      </c>
      <c r="N983" s="97">
        <v>44705</v>
      </c>
      <c r="O983" s="98"/>
      <c r="P983" s="98"/>
      <c r="Q983" s="177" t="e">
        <f>MONTH([1]!Tableau13[[#This Row],[Date début]])</f>
        <v>#REF!</v>
      </c>
      <c r="R983" s="181" t="e">
        <f>YEAR([1]!Tableau13[[#This Row],[Date début]])</f>
        <v>#REF!</v>
      </c>
      <c r="S983" s="44"/>
      <c r="T983" s="44"/>
    </row>
    <row r="984" spans="1:20" s="75" customFormat="1" ht="30">
      <c r="A984" s="91">
        <v>44702</v>
      </c>
      <c r="B984" s="92">
        <v>431</v>
      </c>
      <c r="C984" s="93" t="str">
        <f>IF(ISNA(VLOOKUP(Tableau13[[#This Row],[Code]],'Code Véhicule'!$A$4:$C$185,2,0)),"",VLOOKUP(Tableau13[[#This Row],[Code]],'Code Véhicule'!$A$4:$C$185,2,0))</f>
        <v>Chariot elevateur</v>
      </c>
      <c r="D984" s="94" t="str">
        <f>IF(ISNA(VLOOKUP(Tableau13[[#This Row],[Code]],'Code Véhicule'!$A$4:$C$185,3,0)),"",VLOOKUP(Tableau13[[#This Row],[Code]],'Code Véhicule'!$A$4:$C$185,3,0))</f>
        <v>Manitou M26-2</v>
      </c>
      <c r="E984" s="92" t="str">
        <f>IF(ISNA(VLOOKUP(Tableau13[[#This Row],[Code]],'Code Véhicule'!$A$4:$D$185,4,0))," ",VLOOKUP(Tableau13[[#This Row],[Code]],'Code Véhicule'!$A$4:$D$185,4,0))</f>
        <v>-</v>
      </c>
      <c r="F984" s="92">
        <v>26779</v>
      </c>
      <c r="G984" s="94" t="s">
        <v>932</v>
      </c>
      <c r="H984" s="94" t="s">
        <v>1862</v>
      </c>
      <c r="I984" s="92" t="s">
        <v>304</v>
      </c>
      <c r="J984" s="95" t="s">
        <v>1863</v>
      </c>
      <c r="K984" s="92" t="s">
        <v>1864</v>
      </c>
      <c r="L984" s="96">
        <v>14820</v>
      </c>
      <c r="M984" s="96">
        <v>14820</v>
      </c>
      <c r="N984" s="97">
        <v>44744</v>
      </c>
      <c r="O984" s="98"/>
      <c r="P984" s="98"/>
      <c r="Q984" s="177" t="e">
        <f>MONTH([1]!Tableau13[[#This Row],[Date début]])</f>
        <v>#REF!</v>
      </c>
      <c r="R984" s="181" t="e">
        <f>YEAR([1]!Tableau13[[#This Row],[Date début]])</f>
        <v>#REF!</v>
      </c>
      <c r="S984" s="44"/>
      <c r="T984" s="44"/>
    </row>
    <row r="985" spans="1:20" s="75" customFormat="1" ht="60">
      <c r="A985" s="91">
        <v>44704</v>
      </c>
      <c r="B985" s="92">
        <v>439</v>
      </c>
      <c r="C985" s="93" t="str">
        <f>IF(ISNA(VLOOKUP(Tableau13[[#This Row],[Code]],'Code Véhicule'!$A$4:$C$185,2,0)),"",VLOOKUP(Tableau13[[#This Row],[Code]],'Code Véhicule'!$A$4:$C$185,2,0))</f>
        <v>Semi remorque</v>
      </c>
      <c r="D985" s="94" t="str">
        <f>IF(ISNA(VLOOKUP(Tableau13[[#This Row],[Code]],'Code Véhicule'!$A$4:$C$185,3,0)),"",VLOOKUP(Tableau13[[#This Row],[Code]],'Code Véhicule'!$A$4:$C$185,3,0))</f>
        <v>VOLVO</v>
      </c>
      <c r="E985" s="92" t="str">
        <f>IF(ISNA(VLOOKUP(Tableau13[[#This Row],[Code]],'Code Véhicule'!$A$4:$D$185,4,0))," ",VLOOKUP(Tableau13[[#This Row],[Code]],'Code Véhicule'!$A$4:$D$185,4,0))</f>
        <v xml:space="preserve">17886-A-73 </v>
      </c>
      <c r="F985" s="92">
        <v>26757</v>
      </c>
      <c r="G985" s="94" t="s">
        <v>610</v>
      </c>
      <c r="H985" s="94" t="s">
        <v>1643</v>
      </c>
      <c r="I985" s="92" t="s">
        <v>304</v>
      </c>
      <c r="J985" s="94" t="s">
        <v>1830</v>
      </c>
      <c r="K985" s="92" t="s">
        <v>1831</v>
      </c>
      <c r="L985" s="96">
        <v>1710</v>
      </c>
      <c r="M985" s="96">
        <v>1710</v>
      </c>
      <c r="N985" s="97">
        <v>44706</v>
      </c>
      <c r="O985" s="98"/>
      <c r="P985" s="98"/>
      <c r="Q985" s="177" t="e">
        <f>MONTH([1]!Tableau13[[#This Row],[Date début]])</f>
        <v>#REF!</v>
      </c>
      <c r="R985" s="181" t="e">
        <f>YEAR([1]!Tableau13[[#This Row],[Date début]])</f>
        <v>#REF!</v>
      </c>
      <c r="S985" s="44"/>
      <c r="T985" s="44"/>
    </row>
    <row r="986" spans="1:20" s="75" customFormat="1" ht="23.25">
      <c r="A986" s="91">
        <v>44705</v>
      </c>
      <c r="B986" s="92">
        <v>401</v>
      </c>
      <c r="C986" s="93" t="str">
        <f>IF(ISNA(VLOOKUP(Tableau13[[#This Row],[Code]],'Code Véhicule'!$A$4:$C$185,2,0)),"",VLOOKUP(Tableau13[[#This Row],[Code]],'Code Véhicule'!$A$4:$C$185,2,0))</f>
        <v>Camion</v>
      </c>
      <c r="D986" s="94" t="str">
        <f>IF(ISNA(VLOOKUP(Tableau13[[#This Row],[Code]],'Code Véhicule'!$A$4:$C$185,3,0)),"",VLOOKUP(Tableau13[[#This Row],[Code]],'Code Véhicule'!$A$4:$C$185,3,0))</f>
        <v>ISUZU</v>
      </c>
      <c r="E986" s="92" t="str">
        <f>IF(ISNA(VLOOKUP(Tableau13[[#This Row],[Code]],'Code Véhicule'!$A$4:$D$185,4,0))," ",VLOOKUP(Tableau13[[#This Row],[Code]],'Code Véhicule'!$A$4:$D$185,4,0))</f>
        <v>26128-A-8</v>
      </c>
      <c r="F986" s="92">
        <v>26762</v>
      </c>
      <c r="G986" s="94" t="s">
        <v>1840</v>
      </c>
      <c r="H986" s="94" t="s">
        <v>1700</v>
      </c>
      <c r="I986" s="92" t="s">
        <v>304</v>
      </c>
      <c r="J986" s="95" t="s">
        <v>1841</v>
      </c>
      <c r="K986" s="92">
        <v>182172</v>
      </c>
      <c r="L986" s="96">
        <v>240</v>
      </c>
      <c r="M986" s="96">
        <v>240</v>
      </c>
      <c r="N986" s="97">
        <v>44705</v>
      </c>
      <c r="O986" s="98"/>
      <c r="P986" s="98"/>
      <c r="Q986" s="177" t="e">
        <f>MONTH([1]!Tableau13[[#This Row],[Date début]])</f>
        <v>#REF!</v>
      </c>
      <c r="R986" s="181" t="e">
        <f>YEAR([1]!Tableau13[[#This Row],[Date début]])</f>
        <v>#REF!</v>
      </c>
      <c r="S986" s="44"/>
      <c r="T986" s="44"/>
    </row>
    <row r="987" spans="1:20" s="75" customFormat="1" ht="30">
      <c r="A987" s="91">
        <v>44707</v>
      </c>
      <c r="B987" s="92">
        <v>434</v>
      </c>
      <c r="C987" s="93" t="str">
        <f>IF(ISNA(VLOOKUP(Tableau13[[#This Row],[Code]],'Code Véhicule'!$A$4:$C$185,2,0)),"",VLOOKUP(Tableau13[[#This Row],[Code]],'Code Véhicule'!$A$4:$C$185,2,0))</f>
        <v>Chariot elevateur</v>
      </c>
      <c r="D987" s="94" t="str">
        <f>IF(ISNA(VLOOKUP(Tableau13[[#This Row],[Code]],'Code Véhicule'!$A$4:$C$185,3,0)),"",VLOOKUP(Tableau13[[#This Row],[Code]],'Code Véhicule'!$A$4:$C$185,3,0))</f>
        <v>Linde H30D</v>
      </c>
      <c r="E987" s="92" t="str">
        <f>IF(ISNA(VLOOKUP(Tableau13[[#This Row],[Code]],'Code Véhicule'!$A$4:$D$185,4,0))," ",VLOOKUP(Tableau13[[#This Row],[Code]],'Code Véhicule'!$A$4:$D$185,4,0))</f>
        <v>-</v>
      </c>
      <c r="F987" s="92">
        <v>26758</v>
      </c>
      <c r="G987" s="94" t="s">
        <v>1797</v>
      </c>
      <c r="H987" s="94" t="s">
        <v>1600</v>
      </c>
      <c r="I987" s="92" t="s">
        <v>304</v>
      </c>
      <c r="J987" s="94" t="s">
        <v>1832</v>
      </c>
      <c r="K987" s="92">
        <v>181880</v>
      </c>
      <c r="L987" s="96">
        <v>180</v>
      </c>
      <c r="M987" s="96">
        <v>180</v>
      </c>
      <c r="N987" s="97">
        <v>44707</v>
      </c>
      <c r="O987" s="98"/>
      <c r="P987" s="98"/>
      <c r="Q987" s="177" t="e">
        <f>MONTH([1]!Tableau13[[#This Row],[Date début]])</f>
        <v>#REF!</v>
      </c>
      <c r="R987" s="181" t="e">
        <f>YEAR([1]!Tableau13[[#This Row],[Date début]])</f>
        <v>#REF!</v>
      </c>
      <c r="S987" s="44"/>
      <c r="T987" s="44"/>
    </row>
    <row r="988" spans="1:20" s="75" customFormat="1" ht="105">
      <c r="A988" s="91">
        <v>44707</v>
      </c>
      <c r="B988" s="92">
        <v>479</v>
      </c>
      <c r="C988" s="93" t="str">
        <f>IF(ISNA(VLOOKUP(Tableau13[[#This Row],[Code]],'Code Véhicule'!$A$4:$C$185,2,0)),"",VLOOKUP(Tableau13[[#This Row],[Code]],'Code Véhicule'!$A$4:$C$185,2,0))</f>
        <v>Bus de transport</v>
      </c>
      <c r="D988" s="94" t="str">
        <f>IF(ISNA(VLOOKUP(Tableau13[[#This Row],[Code]],'Code Véhicule'!$A$4:$C$185,3,0)),"",VLOOKUP(Tableau13[[#This Row],[Code]],'Code Véhicule'!$A$4:$C$185,3,0))</f>
        <v>Hyundai County</v>
      </c>
      <c r="E988" s="92" t="str">
        <f>IF(ISNA(VLOOKUP(Tableau13[[#This Row],[Code]],'Code Véhicule'!$A$4:$D$185,4,0))," ",VLOOKUP(Tableau13[[#This Row],[Code]],'Code Véhicule'!$A$4:$D$185,4,0))</f>
        <v>22772-A-73</v>
      </c>
      <c r="F988" s="92">
        <v>26759</v>
      </c>
      <c r="G988" s="94" t="s">
        <v>610</v>
      </c>
      <c r="H988" s="94" t="s">
        <v>955</v>
      </c>
      <c r="I988" s="92" t="s">
        <v>304</v>
      </c>
      <c r="J988" s="38" t="s">
        <v>1833</v>
      </c>
      <c r="K988" s="92" t="s">
        <v>1834</v>
      </c>
      <c r="L988" s="96">
        <v>1710</v>
      </c>
      <c r="M988" s="96">
        <v>1710</v>
      </c>
      <c r="N988" s="97">
        <v>44712</v>
      </c>
      <c r="O988" s="98"/>
      <c r="P988" s="98"/>
      <c r="Q988" s="177" t="e">
        <f>MONTH([1]!Tableau13[[#This Row],[Date début]])</f>
        <v>#REF!</v>
      </c>
      <c r="R988" s="181" t="e">
        <f>YEAR([1]!Tableau13[[#This Row],[Date début]])</f>
        <v>#REF!</v>
      </c>
      <c r="S988" s="44"/>
      <c r="T988" s="44"/>
    </row>
    <row r="989" spans="1:20" s="75" customFormat="1" ht="23.25">
      <c r="A989" s="115">
        <v>44707</v>
      </c>
      <c r="B989" s="116">
        <v>426</v>
      </c>
      <c r="C989" s="117" t="str">
        <f>IF(ISNA(VLOOKUP(Tableau13[[#This Row],[Code]],'Code Véhicule'!$A$4:$C$185,2,0)),"",VLOOKUP(Tableau13[[#This Row],[Code]],'Code Véhicule'!$A$4:$C$185,2,0))</f>
        <v>Chariot elevateur</v>
      </c>
      <c r="D989" s="118" t="str">
        <f>IF(ISNA(VLOOKUP(Tableau13[[#This Row],[Code]],'Code Véhicule'!$A$4:$C$185,3,0)),"",VLOOKUP(Tableau13[[#This Row],[Code]],'Code Véhicule'!$A$4:$C$185,3,0))</f>
        <v>Manitou MC 30</v>
      </c>
      <c r="E989" s="116" t="str">
        <f>IF(ISNA(VLOOKUP(Tableau13[[#This Row],[Code]],'Code Véhicule'!$A$4:$D$185,4,0))," ",VLOOKUP(Tableau13[[#This Row],[Code]],'Code Véhicule'!$A$4:$D$185,4,0))</f>
        <v>-</v>
      </c>
      <c r="F989" s="116"/>
      <c r="G989" s="118"/>
      <c r="H989" s="118" t="s">
        <v>446</v>
      </c>
      <c r="I989" s="116"/>
      <c r="J989" s="119"/>
      <c r="K989" s="116"/>
      <c r="L989" s="120"/>
      <c r="M989" s="120">
        <v>3420</v>
      </c>
      <c r="N989" s="122">
        <v>44711</v>
      </c>
      <c r="O989" s="121"/>
      <c r="P989" s="121"/>
      <c r="Q989" s="178" t="e">
        <f>MONTH([1]!Tableau13[[#This Row],[Date début]])</f>
        <v>#REF!</v>
      </c>
      <c r="R989" s="182" t="e">
        <f>YEAR([1]!Tableau13[[#This Row],[Date début]])</f>
        <v>#REF!</v>
      </c>
      <c r="S989" s="44"/>
      <c r="T989" s="44"/>
    </row>
    <row r="990" spans="1:20" s="75" customFormat="1" ht="30">
      <c r="A990" s="91">
        <v>44709</v>
      </c>
      <c r="B990" s="92">
        <v>477</v>
      </c>
      <c r="C990" s="93" t="str">
        <f>IF(ISNA(VLOOKUP(Tableau13[[#This Row],[Code]],'Code Véhicule'!$A$4:$C$185,2,0)),"",VLOOKUP(Tableau13[[#This Row],[Code]],'Code Véhicule'!$A$4:$C$185,2,0))</f>
        <v>Chariot elevateur</v>
      </c>
      <c r="D990" s="94" t="str">
        <f>IF(ISNA(VLOOKUP(Tableau13[[#This Row],[Code]],'Code Véhicule'!$A$4:$C$185,3,0)),"",VLOOKUP(Tableau13[[#This Row],[Code]],'Code Véhicule'!$A$4:$C$185,3,0))</f>
        <v>Linde H30D</v>
      </c>
      <c r="E990" s="92" t="str">
        <f>IF(ISNA(VLOOKUP(Tableau13[[#This Row],[Code]],'Code Véhicule'!$A$4:$D$185,4,0))," ",VLOOKUP(Tableau13[[#This Row],[Code]],'Code Véhicule'!$A$4:$D$185,4,0))</f>
        <v>-</v>
      </c>
      <c r="F990" s="92">
        <v>26760</v>
      </c>
      <c r="G990" s="94" t="s">
        <v>511</v>
      </c>
      <c r="H990" s="94" t="s">
        <v>672</v>
      </c>
      <c r="I990" s="92" t="s">
        <v>304</v>
      </c>
      <c r="J990" s="94" t="s">
        <v>1835</v>
      </c>
      <c r="K990" s="92">
        <v>181889</v>
      </c>
      <c r="L990" s="96">
        <v>30</v>
      </c>
      <c r="M990" s="96">
        <v>30</v>
      </c>
      <c r="N990" s="97">
        <v>44709</v>
      </c>
      <c r="O990" s="98"/>
      <c r="P990" s="98"/>
      <c r="Q990" s="177" t="e">
        <f>MONTH([1]!Tableau13[[#This Row],[Date début]])</f>
        <v>#REF!</v>
      </c>
      <c r="R990" s="181" t="e">
        <f>YEAR([1]!Tableau13[[#This Row],[Date début]])</f>
        <v>#REF!</v>
      </c>
      <c r="S990" s="44"/>
      <c r="T990" s="44"/>
    </row>
    <row r="991" spans="1:20" s="75" customFormat="1" ht="90">
      <c r="A991" s="91">
        <v>44713</v>
      </c>
      <c r="B991" s="92">
        <v>405</v>
      </c>
      <c r="C991" s="93" t="str">
        <f>IF(ISNA(VLOOKUP(Tableau13[[#This Row],[Code]],'Code Véhicule'!$A$4:$C$185,2,0)),"",VLOOKUP(Tableau13[[#This Row],[Code]],'Code Véhicule'!$A$4:$C$185,2,0))</f>
        <v>Camion</v>
      </c>
      <c r="D991" s="94" t="str">
        <f>IF(ISNA(VLOOKUP(Tableau13[[#This Row],[Code]],'Code Véhicule'!$A$4:$C$185,3,0)),"",VLOOKUP(Tableau13[[#This Row],[Code]],'Code Véhicule'!$A$4:$C$185,3,0))</f>
        <v>ISUZU</v>
      </c>
      <c r="E991" s="92" t="str">
        <f>IF(ISNA(VLOOKUP(Tableau13[[#This Row],[Code]],'Code Véhicule'!$A$4:$D$185,4,0))," ",VLOOKUP(Tableau13[[#This Row],[Code]],'Code Véhicule'!$A$4:$D$185,4,0))</f>
        <v xml:space="preserve"> 22128-W-6</v>
      </c>
      <c r="F991" s="92">
        <v>26786</v>
      </c>
      <c r="G991" s="94" t="s">
        <v>610</v>
      </c>
      <c r="H991" s="94" t="s">
        <v>1873</v>
      </c>
      <c r="I991" s="92" t="s">
        <v>322</v>
      </c>
      <c r="J991" s="95" t="s">
        <v>1874</v>
      </c>
      <c r="K991" s="92">
        <v>182160</v>
      </c>
      <c r="L991" s="96">
        <v>14820</v>
      </c>
      <c r="M991" s="96">
        <v>14820</v>
      </c>
      <c r="N991" s="97">
        <v>44743</v>
      </c>
      <c r="O991" s="98"/>
      <c r="P991" s="98"/>
      <c r="Q991" s="177" t="e">
        <f>MONTH([1]!Tableau13[[#This Row],[Date début]])</f>
        <v>#REF!</v>
      </c>
      <c r="R991" s="181" t="e">
        <f>YEAR([1]!Tableau13[[#This Row],[Date début]])</f>
        <v>#REF!</v>
      </c>
      <c r="S991" s="44"/>
      <c r="T991" s="44"/>
    </row>
    <row r="992" spans="1:20" s="75" customFormat="1" ht="60">
      <c r="A992" s="91">
        <v>44715</v>
      </c>
      <c r="B992" s="92">
        <v>435</v>
      </c>
      <c r="C992" s="93" t="str">
        <f>IF(ISNA(VLOOKUP(Tableau13[[#This Row],[Code]],'Code Véhicule'!$A$4:$C$185,2,0)),"",VLOOKUP(Tableau13[[#This Row],[Code]],'Code Véhicule'!$A$4:$C$185,2,0))</f>
        <v>Camion</v>
      </c>
      <c r="D992" s="94" t="str">
        <f>IF(ISNA(VLOOKUP(Tableau13[[#This Row],[Code]],'Code Véhicule'!$A$4:$C$185,3,0)),"",VLOOKUP(Tableau13[[#This Row],[Code]],'Code Véhicule'!$A$4:$C$185,3,0))</f>
        <v>Mitsubishi</v>
      </c>
      <c r="E992" s="92" t="str">
        <f>IF(ISNA(VLOOKUP(Tableau13[[#This Row],[Code]],'Code Véhicule'!$A$4:$D$185,4,0))," ",VLOOKUP(Tableau13[[#This Row],[Code]],'Code Véhicule'!$A$4:$D$185,4,0))</f>
        <v xml:space="preserve"> 11469-A-73</v>
      </c>
      <c r="F992" s="92">
        <v>26764</v>
      </c>
      <c r="G992" s="94" t="s">
        <v>1016</v>
      </c>
      <c r="H992" s="94" t="s">
        <v>1341</v>
      </c>
      <c r="I992" s="92" t="s">
        <v>304</v>
      </c>
      <c r="J992" s="95" t="s">
        <v>1844</v>
      </c>
      <c r="K992" s="92">
        <v>182175</v>
      </c>
      <c r="L992" s="96">
        <v>570</v>
      </c>
      <c r="M992" s="96">
        <v>570</v>
      </c>
      <c r="N992" s="97">
        <v>44715</v>
      </c>
      <c r="O992" s="98"/>
      <c r="P992" s="98"/>
      <c r="Q992" s="177" t="e">
        <f>MONTH([1]!Tableau13[[#This Row],[Date début]])</f>
        <v>#REF!</v>
      </c>
      <c r="R992" s="181" t="e">
        <f>YEAR([1]!Tableau13[[#This Row],[Date début]])</f>
        <v>#REF!</v>
      </c>
      <c r="S992" s="44"/>
      <c r="T992" s="44"/>
    </row>
    <row r="993" spans="1:20" s="75" customFormat="1" ht="23.25">
      <c r="A993" s="91">
        <v>44716</v>
      </c>
      <c r="B993" s="92">
        <v>427</v>
      </c>
      <c r="C993" s="93" t="str">
        <f>IF(ISNA(VLOOKUP(Tableau13[[#This Row],[Code]],'Code Véhicule'!$A$4:$C$185,2,0)),"",VLOOKUP(Tableau13[[#This Row],[Code]],'Code Véhicule'!$A$4:$C$185,2,0))</f>
        <v>Chariot elevateur</v>
      </c>
      <c r="D993" s="94" t="str">
        <f>IF(ISNA(VLOOKUP(Tableau13[[#This Row],[Code]],'Code Véhicule'!$A$4:$C$185,3,0)),"",VLOOKUP(Tableau13[[#This Row],[Code]],'Code Véhicule'!$A$4:$C$185,3,0))</f>
        <v>Linde H30</v>
      </c>
      <c r="E993" s="92" t="str">
        <f>IF(ISNA(VLOOKUP(Tableau13[[#This Row],[Code]],'Code Véhicule'!$A$4:$D$185,4,0))," ",VLOOKUP(Tableau13[[#This Row],[Code]],'Code Véhicule'!$A$4:$D$185,4,0))</f>
        <v>-</v>
      </c>
      <c r="F993" s="92">
        <v>26765</v>
      </c>
      <c r="G993" s="94" t="s">
        <v>353</v>
      </c>
      <c r="H993" s="94" t="s">
        <v>1034</v>
      </c>
      <c r="I993" s="92" t="s">
        <v>304</v>
      </c>
      <c r="J993" s="95" t="s">
        <v>1845</v>
      </c>
      <c r="K993" s="92">
        <v>182181</v>
      </c>
      <c r="L993" s="96">
        <v>1140</v>
      </c>
      <c r="M993" s="96">
        <v>1140</v>
      </c>
      <c r="N993" s="97">
        <v>44716</v>
      </c>
      <c r="O993" s="98"/>
      <c r="P993" s="98"/>
      <c r="Q993" s="177" t="e">
        <f>MONTH([1]!Tableau13[[#This Row],[Date début]])</f>
        <v>#REF!</v>
      </c>
      <c r="R993" s="181" t="e">
        <f>YEAR([1]!Tableau13[[#This Row],[Date début]])</f>
        <v>#REF!</v>
      </c>
      <c r="S993" s="44"/>
      <c r="T993" s="44"/>
    </row>
    <row r="994" spans="1:20" s="75" customFormat="1" ht="30">
      <c r="A994" s="91">
        <v>44717</v>
      </c>
      <c r="B994" s="92">
        <v>483</v>
      </c>
      <c r="C994" s="93" t="str">
        <f>IF(ISNA(VLOOKUP(Tableau13[[#This Row],[Code]],'Code Véhicule'!$A$4:$C$185,2,0)),"",VLOOKUP(Tableau13[[#This Row],[Code]],'Code Véhicule'!$A$4:$C$185,2,0))</f>
        <v>Chariot elevateur</v>
      </c>
      <c r="D994" s="94" t="str">
        <f>IF(ISNA(VLOOKUP(Tableau13[[#This Row],[Code]],'Code Véhicule'!$A$4:$C$185,3,0)),"",VLOOKUP(Tableau13[[#This Row],[Code]],'Code Véhicule'!$A$4:$C$185,3,0))</f>
        <v>MI50D</v>
      </c>
      <c r="E994" s="92">
        <f>IF(ISNA(VLOOKUP(Tableau13[[#This Row],[Code]],'Code Véhicule'!$A$4:$D$185,4,0))," ",VLOOKUP(Tableau13[[#This Row],[Code]],'Code Véhicule'!$A$4:$D$185,4,0))</f>
        <v>0</v>
      </c>
      <c r="F994" s="92">
        <v>26770</v>
      </c>
      <c r="G994" s="94" t="s">
        <v>787</v>
      </c>
      <c r="H994" s="94" t="s">
        <v>1853</v>
      </c>
      <c r="I994" s="92" t="s">
        <v>304</v>
      </c>
      <c r="J994" s="95" t="s">
        <v>1854</v>
      </c>
      <c r="K994" s="92" t="s">
        <v>1855</v>
      </c>
      <c r="L994" s="96">
        <v>1140</v>
      </c>
      <c r="M994" s="96">
        <v>1140</v>
      </c>
      <c r="N994" s="97">
        <v>44691</v>
      </c>
      <c r="O994" s="98"/>
      <c r="P994" s="98"/>
      <c r="Q994" s="177" t="e">
        <f>MONTH([1]!Tableau13[[#This Row],[Date début]])</f>
        <v>#REF!</v>
      </c>
      <c r="R994" s="181" t="e">
        <f>YEAR([1]!Tableau13[[#This Row],[Date début]])</f>
        <v>#REF!</v>
      </c>
      <c r="S994" s="44"/>
      <c r="T994" s="44"/>
    </row>
    <row r="995" spans="1:20" s="75" customFormat="1" ht="30">
      <c r="A995" s="91">
        <v>44718</v>
      </c>
      <c r="B995" s="92">
        <v>439</v>
      </c>
      <c r="C995" s="93" t="str">
        <f>IF(ISNA(VLOOKUP(Tableau13[[#This Row],[Code]],'Code Véhicule'!$A$4:$C$185,2,0)),"",VLOOKUP(Tableau13[[#This Row],[Code]],'Code Véhicule'!$A$4:$C$185,2,0))</f>
        <v>Semi remorque</v>
      </c>
      <c r="D995" s="94" t="str">
        <f>IF(ISNA(VLOOKUP(Tableau13[[#This Row],[Code]],'Code Véhicule'!$A$4:$C$185,3,0)),"",VLOOKUP(Tableau13[[#This Row],[Code]],'Code Véhicule'!$A$4:$C$185,3,0))</f>
        <v>VOLVO</v>
      </c>
      <c r="E995" s="92" t="str">
        <f>IF(ISNA(VLOOKUP(Tableau13[[#This Row],[Code]],'Code Véhicule'!$A$4:$D$185,4,0))," ",VLOOKUP(Tableau13[[#This Row],[Code]],'Code Véhicule'!$A$4:$D$185,4,0))</f>
        <v xml:space="preserve">17886-A-73 </v>
      </c>
      <c r="F995" s="92">
        <v>26769</v>
      </c>
      <c r="G995" s="94" t="s">
        <v>1851</v>
      </c>
      <c r="H995" s="94" t="s">
        <v>1034</v>
      </c>
      <c r="I995" s="92" t="s">
        <v>322</v>
      </c>
      <c r="J995" s="95" t="s">
        <v>1852</v>
      </c>
      <c r="K995" s="92">
        <v>182356</v>
      </c>
      <c r="L995" s="96">
        <v>1700</v>
      </c>
      <c r="M995" s="96">
        <v>1700</v>
      </c>
      <c r="N995" s="97">
        <v>44721</v>
      </c>
      <c r="O995" s="98"/>
      <c r="P995" s="98"/>
      <c r="Q995" s="177" t="e">
        <f>MONTH([1]!Tableau13[[#This Row],[Date début]])</f>
        <v>#REF!</v>
      </c>
      <c r="R995" s="181" t="e">
        <f>YEAR([1]!Tableau13[[#This Row],[Date début]])</f>
        <v>#REF!</v>
      </c>
      <c r="S995" s="44"/>
      <c r="T995" s="44"/>
    </row>
    <row r="996" spans="1:20" s="75" customFormat="1" ht="45">
      <c r="A996" s="91">
        <v>44719</v>
      </c>
      <c r="B996" s="92">
        <v>407</v>
      </c>
      <c r="C996" s="93" t="str">
        <f>IF(ISNA(VLOOKUP(Tableau13[[#This Row],[Code]],'Code Véhicule'!$A$4:$C$185,2,0)),"",VLOOKUP(Tableau13[[#This Row],[Code]],'Code Véhicule'!$A$4:$C$185,2,0))</f>
        <v>Semi remorque</v>
      </c>
      <c r="D996" s="94" t="str">
        <f>IF(ISNA(VLOOKUP(Tableau13[[#This Row],[Code]],'Code Véhicule'!$A$4:$C$185,3,0)),"",VLOOKUP(Tableau13[[#This Row],[Code]],'Code Véhicule'!$A$4:$C$185,3,0))</f>
        <v>MAN</v>
      </c>
      <c r="E996" s="92" t="str">
        <f>IF(ISNA(VLOOKUP(Tableau13[[#This Row],[Code]],'Code Véhicule'!$A$4:$D$185,4,0))," ",VLOOKUP(Tableau13[[#This Row],[Code]],'Code Véhicule'!$A$4:$D$185,4,0))</f>
        <v>706-A-73</v>
      </c>
      <c r="F996" s="92">
        <v>26768</v>
      </c>
      <c r="G996" s="94" t="s">
        <v>511</v>
      </c>
      <c r="H996" s="94" t="s">
        <v>1848</v>
      </c>
      <c r="I996" s="92" t="s">
        <v>304</v>
      </c>
      <c r="J996" s="95" t="s">
        <v>1849</v>
      </c>
      <c r="K996" s="92" t="s">
        <v>1850</v>
      </c>
      <c r="L996" s="96">
        <f>570*3</f>
        <v>1710</v>
      </c>
      <c r="M996" s="96">
        <v>1710</v>
      </c>
      <c r="N996" s="97">
        <v>44722</v>
      </c>
      <c r="O996" s="98"/>
      <c r="P996" s="98"/>
      <c r="Q996" s="177" t="e">
        <f>MONTH([1]!Tableau13[[#This Row],[Date début]])</f>
        <v>#REF!</v>
      </c>
      <c r="R996" s="181" t="e">
        <f>YEAR([1]!Tableau13[[#This Row],[Date début]])</f>
        <v>#REF!</v>
      </c>
      <c r="S996" s="44"/>
      <c r="T996" s="44"/>
    </row>
    <row r="997" spans="1:20" s="75" customFormat="1" ht="30">
      <c r="A997" s="91">
        <v>44719</v>
      </c>
      <c r="B997" s="92">
        <v>419</v>
      </c>
      <c r="C997" s="93" t="str">
        <f>IF(ISNA(VLOOKUP(Tableau13[[#This Row],[Code]],'Code Véhicule'!$A$4:$C$185,2,0)),"",VLOOKUP(Tableau13[[#This Row],[Code]],'Code Véhicule'!$A$4:$C$185,2,0))</f>
        <v>Voiture de fonction</v>
      </c>
      <c r="D997" s="94" t="str">
        <f>IF(ISNA(VLOOKUP(Tableau13[[#This Row],[Code]],'Code Véhicule'!$A$4:$C$185,3,0)),"",VLOOKUP(Tableau13[[#This Row],[Code]],'Code Véhicule'!$A$4:$C$185,3,0))</f>
        <v>kangoo</v>
      </c>
      <c r="E997" s="92" t="str">
        <f>IF(ISNA(VLOOKUP(Tableau13[[#This Row],[Code]],'Code Véhicule'!$A$4:$D$185,4,0))," ",VLOOKUP(Tableau13[[#This Row],[Code]],'Code Véhicule'!$A$4:$D$185,4,0))</f>
        <v>4812-A-73</v>
      </c>
      <c r="F997" s="92">
        <v>26771</v>
      </c>
      <c r="G997" s="94" t="s">
        <v>610</v>
      </c>
      <c r="H997" s="94" t="s">
        <v>1856</v>
      </c>
      <c r="I997" s="92" t="s">
        <v>304</v>
      </c>
      <c r="J997" s="95" t="s">
        <v>1857</v>
      </c>
      <c r="K997" s="92">
        <v>182195</v>
      </c>
      <c r="L997" s="96">
        <v>60</v>
      </c>
      <c r="M997" s="96">
        <v>60</v>
      </c>
      <c r="N997" s="97">
        <v>44719</v>
      </c>
      <c r="O997" s="98"/>
      <c r="P997" s="98"/>
      <c r="Q997" s="177" t="e">
        <f>MONTH([1]!Tableau13[[#This Row],[Date début]])</f>
        <v>#REF!</v>
      </c>
      <c r="R997" s="181" t="e">
        <f>YEAR([1]!Tableau13[[#This Row],[Date début]])</f>
        <v>#REF!</v>
      </c>
      <c r="S997" s="44"/>
      <c r="T997" s="44"/>
    </row>
    <row r="998" spans="1:20" s="75" customFormat="1" ht="23.25">
      <c r="A998" s="91">
        <v>44722</v>
      </c>
      <c r="B998" s="92">
        <v>434</v>
      </c>
      <c r="C998" s="93" t="str">
        <f>IF(ISNA(VLOOKUP(Tableau13[[#This Row],[Code]],'Code Véhicule'!$A$4:$C$185,2,0)),"",VLOOKUP(Tableau13[[#This Row],[Code]],'Code Véhicule'!$A$4:$C$185,2,0))</f>
        <v>Chariot elevateur</v>
      </c>
      <c r="D998" s="94" t="str">
        <f>IF(ISNA(VLOOKUP(Tableau13[[#This Row],[Code]],'Code Véhicule'!$A$4:$C$185,3,0)),"",VLOOKUP(Tableau13[[#This Row],[Code]],'Code Véhicule'!$A$4:$C$185,3,0))</f>
        <v>Linde H30D</v>
      </c>
      <c r="E998" s="92" t="str">
        <f>IF(ISNA(VLOOKUP(Tableau13[[#This Row],[Code]],'Code Véhicule'!$A$4:$D$185,4,0))," ",VLOOKUP(Tableau13[[#This Row],[Code]],'Code Véhicule'!$A$4:$D$185,4,0))</f>
        <v>-</v>
      </c>
      <c r="F998" s="92">
        <v>26774</v>
      </c>
      <c r="G998" s="94" t="s">
        <v>393</v>
      </c>
      <c r="H998" s="94" t="s">
        <v>613</v>
      </c>
      <c r="I998" s="92" t="s">
        <v>304</v>
      </c>
      <c r="J998" s="95" t="s">
        <v>1657</v>
      </c>
      <c r="K998" s="92">
        <v>182379</v>
      </c>
      <c r="L998" s="96">
        <v>30</v>
      </c>
      <c r="M998" s="96">
        <v>30</v>
      </c>
      <c r="N998" s="97">
        <v>44722</v>
      </c>
      <c r="O998" s="98"/>
      <c r="P998" s="98"/>
      <c r="Q998" s="177" t="e">
        <f>MONTH([1]!Tableau13[[#This Row],[Date début]])</f>
        <v>#REF!</v>
      </c>
      <c r="R998" s="181" t="e">
        <f>YEAR([1]!Tableau13[[#This Row],[Date début]])</f>
        <v>#REF!</v>
      </c>
      <c r="S998" s="44"/>
      <c r="T998" s="44"/>
    </row>
    <row r="999" spans="1:20" s="75" customFormat="1" ht="30">
      <c r="A999" s="91">
        <v>44725</v>
      </c>
      <c r="B999" s="92">
        <v>484</v>
      </c>
      <c r="C999" s="93" t="str">
        <f>IF(ISNA(VLOOKUP(Tableau13[[#This Row],[Code]],'Code Véhicule'!$A$4:$C$185,2,0)),"",VLOOKUP(Tableau13[[#This Row],[Code]],'Code Véhicule'!$A$4:$C$185,2,0))</f>
        <v>Chariot elevateur</v>
      </c>
      <c r="D999" s="94" t="str">
        <f>IF(ISNA(VLOOKUP(Tableau13[[#This Row],[Code]],'Code Véhicule'!$A$4:$C$185,3,0)),"",VLOOKUP(Tableau13[[#This Row],[Code]],'Code Véhicule'!$A$4:$C$185,3,0))</f>
        <v>MI50D</v>
      </c>
      <c r="E999" s="92">
        <f>IF(ISNA(VLOOKUP(Tableau13[[#This Row],[Code]],'Code Véhicule'!$A$4:$D$185,4,0))," ",VLOOKUP(Tableau13[[#This Row],[Code]],'Code Véhicule'!$A$4:$D$185,4,0))</f>
        <v>0</v>
      </c>
      <c r="F999" s="92">
        <v>26773</v>
      </c>
      <c r="G999" s="94" t="s">
        <v>787</v>
      </c>
      <c r="H999" s="94" t="s">
        <v>1853</v>
      </c>
      <c r="I999" s="92" t="s">
        <v>304</v>
      </c>
      <c r="J999" s="95" t="s">
        <v>1854</v>
      </c>
      <c r="K999" s="92" t="s">
        <v>1858</v>
      </c>
      <c r="L999" s="96">
        <v>1140</v>
      </c>
      <c r="M999" s="96">
        <v>1140</v>
      </c>
      <c r="N999" s="97">
        <v>44725</v>
      </c>
      <c r="O999" s="98"/>
      <c r="P999" s="98"/>
      <c r="Q999" s="177" t="e">
        <f>MONTH([1]!Tableau13[[#This Row],[Date début]])</f>
        <v>#REF!</v>
      </c>
      <c r="R999" s="181" t="e">
        <f>YEAR([1]!Tableau13[[#This Row],[Date début]])</f>
        <v>#REF!</v>
      </c>
      <c r="S999" s="44"/>
      <c r="T999" s="44"/>
    </row>
    <row r="1000" spans="1:20" s="75" customFormat="1" ht="30">
      <c r="A1000" s="91">
        <v>44728</v>
      </c>
      <c r="B1000" s="92">
        <v>472</v>
      </c>
      <c r="C1000" s="93" t="str">
        <f>IF(ISNA(VLOOKUP(Tableau13[[#This Row],[Code]],'Code Véhicule'!$A$4:$C$185,2,0)),"",VLOOKUP(Tableau13[[#This Row],[Code]],'Code Véhicule'!$A$4:$C$185,2,0))</f>
        <v>Chariot elevateur</v>
      </c>
      <c r="D1000" s="94" t="str">
        <f>IF(ISNA(VLOOKUP(Tableau13[[#This Row],[Code]],'Code Véhicule'!$A$4:$C$185,3,0)),"",VLOOKUP(Tableau13[[#This Row],[Code]],'Code Véhicule'!$A$4:$C$185,3,0))</f>
        <v>Linde H25d</v>
      </c>
      <c r="E1000" s="92" t="str">
        <f>IF(ISNA(VLOOKUP(Tableau13[[#This Row],[Code]],'Code Véhicule'!$A$4:$D$185,4,0))," ",VLOOKUP(Tableau13[[#This Row],[Code]],'Code Véhicule'!$A$4:$D$185,4,0))</f>
        <v>-</v>
      </c>
      <c r="F1000" s="92">
        <v>26775</v>
      </c>
      <c r="G1000" s="38" t="s">
        <v>1146</v>
      </c>
      <c r="H1000" s="38" t="s">
        <v>1906</v>
      </c>
      <c r="I1000" s="92"/>
      <c r="J1000" s="95" t="s">
        <v>1859</v>
      </c>
      <c r="K1000" s="92"/>
      <c r="L1000" s="96"/>
      <c r="M1000" s="96" t="str">
        <f>IF(ISBLANK(Tableau13[[#This Row],[N BS]]),"",(Tableau13[[#This Row],[N BS]]-Tableau13[[#This Row],[Date début]]))</f>
        <v/>
      </c>
      <c r="N1000" s="97"/>
      <c r="O1000" s="98"/>
      <c r="P1000" s="98"/>
      <c r="Q1000" s="177" t="e">
        <f>MONTH([1]!Tableau13[[#This Row],[Date début]])</f>
        <v>#REF!</v>
      </c>
      <c r="R1000" s="181" t="e">
        <f>YEAR([1]!Tableau13[[#This Row],[Date début]])</f>
        <v>#REF!</v>
      </c>
      <c r="S1000" s="44"/>
      <c r="T1000" s="44"/>
    </row>
    <row r="1001" spans="1:20" s="75" customFormat="1" ht="23.25">
      <c r="A1001" s="91">
        <v>44728</v>
      </c>
      <c r="B1001" s="92">
        <v>482</v>
      </c>
      <c r="C1001" s="93" t="str">
        <f>IF(ISNA(VLOOKUP(Tableau13[[#This Row],[Code]],'Code Véhicule'!$A$4:$C$185,2,0)),"",VLOOKUP(Tableau13[[#This Row],[Code]],'Code Véhicule'!$A$4:$C$185,2,0))</f>
        <v>Pick up</v>
      </c>
      <c r="D1001" s="94" t="str">
        <f>IF(ISNA(VLOOKUP(Tableau13[[#This Row],[Code]],'Code Véhicule'!$A$4:$C$185,3,0)),"",VLOOKUP(Tableau13[[#This Row],[Code]],'Code Véhicule'!$A$4:$C$185,3,0))</f>
        <v>HYUNDAI H100</v>
      </c>
      <c r="E1001" s="92" t="str">
        <f>IF(ISNA(VLOOKUP(Tableau13[[#This Row],[Code]],'Code Véhicule'!$A$4:$D$185,4,0))," ",VLOOKUP(Tableau13[[#This Row],[Code]],'Code Véhicule'!$A$4:$D$185,4,0))</f>
        <v>22368-A-73</v>
      </c>
      <c r="F1001" s="92">
        <v>26776</v>
      </c>
      <c r="G1001" s="94" t="s">
        <v>610</v>
      </c>
      <c r="H1001" s="94" t="s">
        <v>1643</v>
      </c>
      <c r="I1001" s="92" t="s">
        <v>304</v>
      </c>
      <c r="J1001" s="95" t="s">
        <v>1860</v>
      </c>
      <c r="K1001" s="92">
        <v>182387</v>
      </c>
      <c r="L1001" s="96">
        <v>180</v>
      </c>
      <c r="M1001" s="96">
        <v>180</v>
      </c>
      <c r="N1001" s="97">
        <v>44728</v>
      </c>
      <c r="O1001" s="98"/>
      <c r="P1001" s="98"/>
      <c r="Q1001" s="177" t="e">
        <f>MONTH([1]!Tableau13[[#This Row],[Date début]])</f>
        <v>#REF!</v>
      </c>
      <c r="R1001" s="181" t="e">
        <f>YEAR([1]!Tableau13[[#This Row],[Date début]])</f>
        <v>#REF!</v>
      </c>
      <c r="S1001" s="44"/>
      <c r="T1001" s="44"/>
    </row>
    <row r="1002" spans="1:20" s="75" customFormat="1" ht="23.25">
      <c r="A1002" s="91">
        <v>44728</v>
      </c>
      <c r="B1002" s="92">
        <v>410</v>
      </c>
      <c r="C1002" s="93" t="str">
        <f>IF(ISNA(VLOOKUP(Tableau13[[#This Row],[Code]],'Code Véhicule'!$A$4:$C$185,2,0)),"",VLOOKUP(Tableau13[[#This Row],[Code]],'Code Véhicule'!$A$4:$C$185,2,0))</f>
        <v>Semi remorque</v>
      </c>
      <c r="D1002" s="94" t="str">
        <f>IF(ISNA(VLOOKUP(Tableau13[[#This Row],[Code]],'Code Véhicule'!$A$4:$C$185,3,0)),"",VLOOKUP(Tableau13[[#This Row],[Code]],'Code Véhicule'!$A$4:$C$185,3,0))</f>
        <v>MAN</v>
      </c>
      <c r="E1002" s="92" t="str">
        <f>IF(ISNA(VLOOKUP(Tableau13[[#This Row],[Code]],'Code Véhicule'!$A$4:$D$185,4,0))," ",VLOOKUP(Tableau13[[#This Row],[Code]],'Code Véhicule'!$A$4:$D$185,4,0))</f>
        <v xml:space="preserve">28659-D-1 </v>
      </c>
      <c r="F1002" s="92">
        <v>26777</v>
      </c>
      <c r="G1002" s="94" t="s">
        <v>523</v>
      </c>
      <c r="H1002" s="94" t="s">
        <v>1861</v>
      </c>
      <c r="I1002" s="92" t="s">
        <v>304</v>
      </c>
      <c r="J1002" s="95" t="s">
        <v>553</v>
      </c>
      <c r="K1002" s="92">
        <v>182388</v>
      </c>
      <c r="L1002" s="96">
        <v>60</v>
      </c>
      <c r="M1002" s="96">
        <v>60</v>
      </c>
      <c r="N1002" s="97">
        <v>44728</v>
      </c>
      <c r="O1002" s="98"/>
      <c r="P1002" s="98"/>
      <c r="Q1002" s="177" t="e">
        <f>MONTH([1]!Tableau13[[#This Row],[Date début]])</f>
        <v>#REF!</v>
      </c>
      <c r="R1002" s="181" t="e">
        <f>YEAR([1]!Tableau13[[#This Row],[Date début]])</f>
        <v>#REF!</v>
      </c>
      <c r="S1002" s="44"/>
      <c r="T1002" s="44"/>
    </row>
    <row r="1003" spans="1:20" s="75" customFormat="1" ht="23.25">
      <c r="A1003" s="91">
        <v>44729</v>
      </c>
      <c r="B1003" s="92">
        <v>434</v>
      </c>
      <c r="C1003" s="93" t="str">
        <f>IF(ISNA(VLOOKUP(Tableau13[[#This Row],[Code]],'Code Véhicule'!$A$4:$C$185,2,0)),"",VLOOKUP(Tableau13[[#This Row],[Code]],'Code Véhicule'!$A$4:$C$185,2,0))</f>
        <v>Chariot elevateur</v>
      </c>
      <c r="D1003" s="94" t="str">
        <f>IF(ISNA(VLOOKUP(Tableau13[[#This Row],[Code]],'Code Véhicule'!$A$4:$C$185,3,0)),"",VLOOKUP(Tableau13[[#This Row],[Code]],'Code Véhicule'!$A$4:$C$185,3,0))</f>
        <v>Linde H30D</v>
      </c>
      <c r="E1003" s="92" t="str">
        <f>IF(ISNA(VLOOKUP(Tableau13[[#This Row],[Code]],'Code Véhicule'!$A$4:$D$185,4,0))," ",VLOOKUP(Tableau13[[#This Row],[Code]],'Code Véhicule'!$A$4:$D$185,4,0))</f>
        <v>-</v>
      </c>
      <c r="F1003" s="92">
        <v>26778</v>
      </c>
      <c r="G1003" s="94" t="s">
        <v>393</v>
      </c>
      <c r="H1003" s="94" t="s">
        <v>613</v>
      </c>
      <c r="I1003" s="92" t="s">
        <v>304</v>
      </c>
      <c r="J1003" s="95" t="s">
        <v>1657</v>
      </c>
      <c r="K1003" s="92">
        <v>182289</v>
      </c>
      <c r="L1003" s="96">
        <v>30</v>
      </c>
      <c r="M1003" s="96">
        <v>30</v>
      </c>
      <c r="N1003" s="97">
        <v>44729</v>
      </c>
      <c r="O1003" s="98"/>
      <c r="P1003" s="98"/>
      <c r="Q1003" s="177" t="e">
        <f>MONTH([1]!Tableau13[[#This Row],[Date début]])</f>
        <v>#REF!</v>
      </c>
      <c r="R1003" s="181" t="e">
        <f>YEAR([1]!Tableau13[[#This Row],[Date début]])</f>
        <v>#REF!</v>
      </c>
      <c r="S1003" s="44"/>
      <c r="T1003" s="44"/>
    </row>
    <row r="1004" spans="1:20" s="75" customFormat="1" ht="23.25">
      <c r="A1004" s="91">
        <v>44730</v>
      </c>
      <c r="B1004" s="92">
        <v>417</v>
      </c>
      <c r="C1004" s="93" t="str">
        <f>IF(ISNA(VLOOKUP(Tableau13[[#This Row],[Code]],'Code Véhicule'!$A$4:$C$185,2,0)),"",VLOOKUP(Tableau13[[#This Row],[Code]],'Code Véhicule'!$A$4:$C$185,2,0))</f>
        <v>Voiture de fonction</v>
      </c>
      <c r="D1004" s="94" t="str">
        <f>IF(ISNA(VLOOKUP(Tableau13[[#This Row],[Code]],'Code Véhicule'!$A$4:$C$185,3,0)),"",VLOOKUP(Tableau13[[#This Row],[Code]],'Code Véhicule'!$A$4:$C$185,3,0))</f>
        <v>Berlingo</v>
      </c>
      <c r="E1004" s="92" t="str">
        <f>IF(ISNA(VLOOKUP(Tableau13[[#This Row],[Code]],'Code Véhicule'!$A$4:$D$185,4,0))," ",VLOOKUP(Tableau13[[#This Row],[Code]],'Code Véhicule'!$A$4:$D$185,4,0))</f>
        <v>981-A-73</v>
      </c>
      <c r="F1004" s="92">
        <v>26780</v>
      </c>
      <c r="G1004" s="94" t="s">
        <v>663</v>
      </c>
      <c r="H1004" s="94" t="s">
        <v>1865</v>
      </c>
      <c r="I1004" s="92" t="s">
        <v>304</v>
      </c>
      <c r="J1004" s="95" t="s">
        <v>1866</v>
      </c>
      <c r="K1004" s="92">
        <v>182397</v>
      </c>
      <c r="L1004" s="96">
        <v>360</v>
      </c>
      <c r="M1004" s="96">
        <v>360</v>
      </c>
      <c r="N1004" s="97">
        <v>44730</v>
      </c>
      <c r="O1004" s="98"/>
      <c r="P1004" s="98"/>
      <c r="Q1004" s="177" t="e">
        <f>MONTH([1]!Tableau13[[#This Row],[Date début]])</f>
        <v>#REF!</v>
      </c>
      <c r="R1004" s="181" t="e">
        <f>YEAR([1]!Tableau13[[#This Row],[Date début]])</f>
        <v>#REF!</v>
      </c>
      <c r="S1004" s="44"/>
      <c r="T1004" s="44"/>
    </row>
    <row r="1005" spans="1:20" s="75" customFormat="1" ht="75">
      <c r="A1005" s="91">
        <v>44732</v>
      </c>
      <c r="B1005" s="92">
        <v>436</v>
      </c>
      <c r="C1005" s="93" t="str">
        <f>IF(ISNA(VLOOKUP(Tableau13[[#This Row],[Code]],'Code Véhicule'!$A$4:$C$185,2,0)),"",VLOOKUP(Tableau13[[#This Row],[Code]],'Code Véhicule'!$A$4:$C$185,2,0))</f>
        <v>Camion</v>
      </c>
      <c r="D1005" s="94" t="str">
        <f>IF(ISNA(VLOOKUP(Tableau13[[#This Row],[Code]],'Code Véhicule'!$A$4:$C$185,3,0)),"",VLOOKUP(Tableau13[[#This Row],[Code]],'Code Véhicule'!$A$4:$C$185,3,0))</f>
        <v>Mitsubishi</v>
      </c>
      <c r="E1005" s="92" t="str">
        <f>IF(ISNA(VLOOKUP(Tableau13[[#This Row],[Code]],'Code Véhicule'!$A$4:$D$185,4,0))," ",VLOOKUP(Tableau13[[#This Row],[Code]],'Code Véhicule'!$A$4:$D$185,4,0))</f>
        <v>11470-A-73</v>
      </c>
      <c r="F1005" s="92">
        <v>26781</v>
      </c>
      <c r="G1005" s="94" t="s">
        <v>327</v>
      </c>
      <c r="H1005" s="94" t="s">
        <v>1084</v>
      </c>
      <c r="I1005" s="92" t="s">
        <v>304</v>
      </c>
      <c r="J1005" s="95" t="s">
        <v>1867</v>
      </c>
      <c r="K1005" s="92">
        <v>183502</v>
      </c>
      <c r="L1005" s="96">
        <v>120</v>
      </c>
      <c r="M1005" s="96">
        <v>120</v>
      </c>
      <c r="N1005" s="97">
        <v>44732</v>
      </c>
      <c r="O1005" s="98"/>
      <c r="P1005" s="98"/>
      <c r="Q1005" s="177" t="e">
        <f>MONTH([1]!Tableau13[[#This Row],[Date début]])</f>
        <v>#REF!</v>
      </c>
      <c r="R1005" s="181" t="e">
        <f>YEAR([1]!Tableau13[[#This Row],[Date début]])</f>
        <v>#REF!</v>
      </c>
      <c r="S1005" s="44"/>
      <c r="T1005" s="44"/>
    </row>
    <row r="1006" spans="1:20" s="75" customFormat="1" ht="30">
      <c r="A1006" s="91">
        <v>44733</v>
      </c>
      <c r="B1006" s="92">
        <v>406</v>
      </c>
      <c r="C1006" s="93" t="str">
        <f>IF(ISNA(VLOOKUP(Tableau13[[#This Row],[Code]],'Code Véhicule'!$A$4:$C$185,2,0)),"",VLOOKUP(Tableau13[[#This Row],[Code]],'Code Véhicule'!$A$4:$C$185,2,0))</f>
        <v>Semi remorque</v>
      </c>
      <c r="D1006" s="94" t="str">
        <f>IF(ISNA(VLOOKUP(Tableau13[[#This Row],[Code]],'Code Véhicule'!$A$4:$C$185,3,0)),"",VLOOKUP(Tableau13[[#This Row],[Code]],'Code Véhicule'!$A$4:$C$185,3,0))</f>
        <v>VOLVO</v>
      </c>
      <c r="E1006" s="92" t="str">
        <f>IF(ISNA(VLOOKUP(Tableau13[[#This Row],[Code]],'Code Véhicule'!$A$4:$D$185,4,0))," ",VLOOKUP(Tableau13[[#This Row],[Code]],'Code Véhicule'!$A$4:$D$185,4,0))</f>
        <v>70352-A-6</v>
      </c>
      <c r="F1006" s="92">
        <v>26782</v>
      </c>
      <c r="G1006" s="94" t="s">
        <v>511</v>
      </c>
      <c r="H1006" s="94" t="s">
        <v>1848</v>
      </c>
      <c r="I1006" s="92" t="s">
        <v>304</v>
      </c>
      <c r="J1006" s="95" t="s">
        <v>1868</v>
      </c>
      <c r="K1006" s="92">
        <v>183509</v>
      </c>
      <c r="L1006" s="96">
        <v>570</v>
      </c>
      <c r="M1006" s="96">
        <v>570</v>
      </c>
      <c r="N1006" s="97">
        <v>44734</v>
      </c>
      <c r="O1006" s="98"/>
      <c r="P1006" s="98"/>
      <c r="Q1006" s="177" t="e">
        <f>MONTH([1]!Tableau13[[#This Row],[Date début]])</f>
        <v>#REF!</v>
      </c>
      <c r="R1006" s="181" t="e">
        <f>YEAR([1]!Tableau13[[#This Row],[Date début]])</f>
        <v>#REF!</v>
      </c>
      <c r="S1006" s="44"/>
      <c r="T1006" s="44"/>
    </row>
    <row r="1007" spans="1:20" s="75" customFormat="1" ht="105">
      <c r="A1007" s="91">
        <v>44733</v>
      </c>
      <c r="B1007" s="92">
        <v>407</v>
      </c>
      <c r="C1007" s="93" t="str">
        <f>IF(ISNA(VLOOKUP(Tableau13[[#This Row],[Code]],'Code Véhicule'!$A$4:$C$185,2,0)),"",VLOOKUP(Tableau13[[#This Row],[Code]],'Code Véhicule'!$A$4:$C$185,2,0))</f>
        <v>Semi remorque</v>
      </c>
      <c r="D1007" s="94" t="str">
        <f>IF(ISNA(VLOOKUP(Tableau13[[#This Row],[Code]],'Code Véhicule'!$A$4:$C$185,3,0)),"",VLOOKUP(Tableau13[[#This Row],[Code]],'Code Véhicule'!$A$4:$C$185,3,0))</f>
        <v>MAN</v>
      </c>
      <c r="E1007" s="92" t="str">
        <f>IF(ISNA(VLOOKUP(Tableau13[[#This Row],[Code]],'Code Véhicule'!$A$4:$D$185,4,0))," ",VLOOKUP(Tableau13[[#This Row],[Code]],'Code Véhicule'!$A$4:$D$185,4,0))</f>
        <v>706-A-73</v>
      </c>
      <c r="F1007" s="92">
        <v>26783</v>
      </c>
      <c r="G1007" s="94" t="s">
        <v>327</v>
      </c>
      <c r="H1007" s="94" t="s">
        <v>1084</v>
      </c>
      <c r="I1007" s="92" t="s">
        <v>304</v>
      </c>
      <c r="J1007" s="39" t="s">
        <v>1869</v>
      </c>
      <c r="K1007" s="92">
        <v>183510</v>
      </c>
      <c r="L1007" s="96">
        <v>120</v>
      </c>
      <c r="M1007" s="96">
        <v>120</v>
      </c>
      <c r="N1007" s="97">
        <v>44733</v>
      </c>
      <c r="O1007" s="98"/>
      <c r="P1007" s="98"/>
      <c r="Q1007" s="177" t="e">
        <f>MONTH([1]!Tableau13[[#This Row],[Date début]])</f>
        <v>#REF!</v>
      </c>
      <c r="R1007" s="181" t="e">
        <f>YEAR([1]!Tableau13[[#This Row],[Date début]])</f>
        <v>#REF!</v>
      </c>
      <c r="S1007" s="44"/>
      <c r="T1007" s="44"/>
    </row>
    <row r="1008" spans="1:20" s="75" customFormat="1" ht="23.25">
      <c r="A1008" s="91">
        <v>44733</v>
      </c>
      <c r="B1008" s="92">
        <v>439</v>
      </c>
      <c r="C1008" s="93" t="str">
        <f>IF(ISNA(VLOOKUP(Tableau13[[#This Row],[Code]],'Code Véhicule'!$A$4:$C$185,2,0)),"",VLOOKUP(Tableau13[[#This Row],[Code]],'Code Véhicule'!$A$4:$C$185,2,0))</f>
        <v>Semi remorque</v>
      </c>
      <c r="D1008" s="94" t="str">
        <f>IF(ISNA(VLOOKUP(Tableau13[[#This Row],[Code]],'Code Véhicule'!$A$4:$C$185,3,0)),"",VLOOKUP(Tableau13[[#This Row],[Code]],'Code Véhicule'!$A$4:$C$185,3,0))</f>
        <v>VOLVO</v>
      </c>
      <c r="E1008" s="92" t="str">
        <f>IF(ISNA(VLOOKUP(Tableau13[[#This Row],[Code]],'Code Véhicule'!$A$4:$D$185,4,0))," ",VLOOKUP(Tableau13[[#This Row],[Code]],'Code Véhicule'!$A$4:$D$185,4,0))</f>
        <v xml:space="preserve">17886-A-73 </v>
      </c>
      <c r="F1008" s="92">
        <v>26784</v>
      </c>
      <c r="G1008" s="94" t="s">
        <v>560</v>
      </c>
      <c r="H1008" s="94" t="s">
        <v>604</v>
      </c>
      <c r="I1008" s="92" t="s">
        <v>322</v>
      </c>
      <c r="J1008" s="95" t="s">
        <v>1870</v>
      </c>
      <c r="K1008" s="92">
        <v>183511</v>
      </c>
      <c r="L1008" s="96">
        <v>120</v>
      </c>
      <c r="M1008" s="96">
        <v>120</v>
      </c>
      <c r="N1008" s="97">
        <v>44733</v>
      </c>
      <c r="O1008" s="98"/>
      <c r="P1008" s="98"/>
      <c r="Q1008" s="177" t="e">
        <f>MONTH([1]!Tableau13[[#This Row],[Date début]])</f>
        <v>#REF!</v>
      </c>
      <c r="R1008" s="181" t="e">
        <f>YEAR([1]!Tableau13[[#This Row],[Date début]])</f>
        <v>#REF!</v>
      </c>
      <c r="S1008" s="44"/>
      <c r="T1008" s="44"/>
    </row>
    <row r="1009" spans="1:20" s="75" customFormat="1" ht="30">
      <c r="A1009" s="91">
        <v>44733</v>
      </c>
      <c r="B1009" s="92">
        <v>410</v>
      </c>
      <c r="C1009" s="93" t="str">
        <f>IF(ISNA(VLOOKUP(Tableau13[[#This Row],[Code]],'Code Véhicule'!$A$4:$C$185,2,0)),"",VLOOKUP(Tableau13[[#This Row],[Code]],'Code Véhicule'!$A$4:$C$185,2,0))</f>
        <v>Semi remorque</v>
      </c>
      <c r="D1009" s="94" t="str">
        <f>IF(ISNA(VLOOKUP(Tableau13[[#This Row],[Code]],'Code Véhicule'!$A$4:$C$185,3,0)),"",VLOOKUP(Tableau13[[#This Row],[Code]],'Code Véhicule'!$A$4:$C$185,3,0))</f>
        <v>MAN</v>
      </c>
      <c r="E1009" s="92" t="str">
        <f>IF(ISNA(VLOOKUP(Tableau13[[#This Row],[Code]],'Code Véhicule'!$A$4:$D$185,4,0))," ",VLOOKUP(Tableau13[[#This Row],[Code]],'Code Véhicule'!$A$4:$D$185,4,0))</f>
        <v xml:space="preserve">28659-D-1 </v>
      </c>
      <c r="F1009" s="92">
        <v>26785</v>
      </c>
      <c r="G1009" s="94" t="s">
        <v>1871</v>
      </c>
      <c r="H1009" s="94" t="s">
        <v>1034</v>
      </c>
      <c r="I1009" s="92" t="s">
        <v>304</v>
      </c>
      <c r="J1009" s="95" t="s">
        <v>1872</v>
      </c>
      <c r="K1009" s="92">
        <v>182396</v>
      </c>
      <c r="L1009" s="96">
        <v>60</v>
      </c>
      <c r="M1009" s="96">
        <v>60</v>
      </c>
      <c r="N1009" s="97">
        <v>44730</v>
      </c>
      <c r="O1009" s="98"/>
      <c r="P1009" s="98"/>
      <c r="Q1009" s="177" t="e">
        <f>MONTH([1]!Tableau13[[#This Row],[Date début]])</f>
        <v>#REF!</v>
      </c>
      <c r="R1009" s="181" t="e">
        <f>YEAR([1]!Tableau13[[#This Row],[Date début]])</f>
        <v>#REF!</v>
      </c>
      <c r="S1009" s="44"/>
      <c r="T1009" s="44"/>
    </row>
    <row r="1010" spans="1:20" s="75" customFormat="1" ht="23.25">
      <c r="A1010" s="91">
        <v>44893</v>
      </c>
      <c r="B1010" s="92">
        <v>417</v>
      </c>
      <c r="C1010" s="93" t="str">
        <f>IF(ISNA(VLOOKUP(Tableau13[[#This Row],[Code]],'Code Véhicule'!$A$4:$C$185,2,0)),"",VLOOKUP(Tableau13[[#This Row],[Code]],'Code Véhicule'!$A$4:$C$185,2,0))</f>
        <v>Voiture de fonction</v>
      </c>
      <c r="D1010" s="94" t="str">
        <f>IF(ISNA(VLOOKUP(Tableau13[[#This Row],[Code]],'Code Véhicule'!$A$4:$C$185,3,0)),"",VLOOKUP(Tableau13[[#This Row],[Code]],'Code Véhicule'!$A$4:$C$185,3,0))</f>
        <v>Berlingo</v>
      </c>
      <c r="E1010" s="92" t="str">
        <f>IF(ISNA(VLOOKUP(Tableau13[[#This Row],[Code]],'Code Véhicule'!$A$4:$D$185,4,0))," ",VLOOKUP(Tableau13[[#This Row],[Code]],'Code Véhicule'!$A$4:$D$185,4,0))</f>
        <v>981-A-73</v>
      </c>
      <c r="F1010" s="92"/>
      <c r="G1010" s="38" t="s">
        <v>525</v>
      </c>
      <c r="H1010" s="38" t="s">
        <v>774</v>
      </c>
      <c r="I1010" s="36" t="s">
        <v>304</v>
      </c>
      <c r="J1010" s="39" t="s">
        <v>2371</v>
      </c>
      <c r="K1010" s="92"/>
      <c r="L1010" s="96">
        <v>120</v>
      </c>
      <c r="M1010" s="96">
        <v>120</v>
      </c>
      <c r="N1010" s="97">
        <v>45258</v>
      </c>
      <c r="O1010" s="98"/>
      <c r="P1010" s="98"/>
      <c r="Q1010" s="177" t="e">
        <f>MONTH([1]!Tableau13[[#This Row],[Date début]])</f>
        <v>#REF!</v>
      </c>
      <c r="R1010" s="181" t="e">
        <f>YEAR([1]!Tableau13[[#This Row],[Date début]])</f>
        <v>#REF!</v>
      </c>
      <c r="S1010" s="44"/>
      <c r="T1010" s="44"/>
    </row>
    <row r="1011" spans="1:20" s="75" customFormat="1" ht="23.25">
      <c r="A1011" s="91">
        <v>44933</v>
      </c>
      <c r="B1011" s="92">
        <v>480</v>
      </c>
      <c r="C1011" s="93" t="str">
        <f>IF(ISNA(VLOOKUP(Tableau13[[#This Row],[Code]],'Code Véhicule'!$A$4:$C$185,2,0)),"",VLOOKUP(Tableau13[[#This Row],[Code]],'Code Véhicule'!$A$4:$C$185,2,0))</f>
        <v>Camion</v>
      </c>
      <c r="D1011" s="94" t="str">
        <f>IF(ISNA(VLOOKUP(Tableau13[[#This Row],[Code]],'Code Véhicule'!$A$4:$C$185,3,0)),"",VLOOKUP(Tableau13[[#This Row],[Code]],'Code Véhicule'!$A$4:$C$185,3,0))</f>
        <v>VOLVO</v>
      </c>
      <c r="E1011" s="92" t="str">
        <f>IF(ISNA(VLOOKUP(Tableau13[[#This Row],[Code]],'Code Véhicule'!$A$4:$D$185,4,0))," ",VLOOKUP(Tableau13[[#This Row],[Code]],'Code Véhicule'!$A$4:$D$185,4,0))</f>
        <v>22299-A-73</v>
      </c>
      <c r="F1011" s="92"/>
      <c r="G1011" s="38" t="s">
        <v>560</v>
      </c>
      <c r="H1011" s="38" t="s">
        <v>604</v>
      </c>
      <c r="I1011" s="36" t="s">
        <v>322</v>
      </c>
      <c r="J1011" s="39" t="s">
        <v>2064</v>
      </c>
      <c r="K1011" s="92"/>
      <c r="L1011" s="96">
        <v>240</v>
      </c>
      <c r="M1011" s="96">
        <v>240</v>
      </c>
      <c r="N1011" s="97">
        <v>44933</v>
      </c>
      <c r="O1011" s="98"/>
      <c r="P1011" s="98"/>
      <c r="Q1011" s="177" t="e">
        <f>MONTH([1]!Tableau13[[#This Row],[Date début]])</f>
        <v>#REF!</v>
      </c>
      <c r="R1011" s="181" t="e">
        <f>YEAR([1]!Tableau13[[#This Row],[Date début]])</f>
        <v>#REF!</v>
      </c>
      <c r="S1011" s="44"/>
      <c r="T1011" s="44"/>
    </row>
    <row r="1012" spans="1:20" s="75" customFormat="1" ht="30">
      <c r="A1012" s="91">
        <v>44935</v>
      </c>
      <c r="B1012" s="92">
        <v>403</v>
      </c>
      <c r="C1012" s="93" t="str">
        <f>IF(ISNA(VLOOKUP(Tableau13[[#This Row],[Code]],'Code Véhicule'!$A$4:$C$185,2,0)),"",VLOOKUP(Tableau13[[#This Row],[Code]],'Code Véhicule'!$A$4:$C$185,2,0))</f>
        <v>Camion</v>
      </c>
      <c r="D1012" s="94" t="str">
        <f>IF(ISNA(VLOOKUP(Tableau13[[#This Row],[Code]],'Code Véhicule'!$A$4:$C$185,3,0)),"",VLOOKUP(Tableau13[[#This Row],[Code]],'Code Véhicule'!$A$4:$C$185,3,0))</f>
        <v>MAN</v>
      </c>
      <c r="E1012" s="92" t="str">
        <f>IF(ISNA(VLOOKUP(Tableau13[[#This Row],[Code]],'Code Véhicule'!$A$4:$D$185,4,0))," ",VLOOKUP(Tableau13[[#This Row],[Code]],'Code Véhicule'!$A$4:$D$185,4,0))</f>
        <v>4790-B-8</v>
      </c>
      <c r="F1012" s="92"/>
      <c r="G1012" s="38" t="s">
        <v>1016</v>
      </c>
      <c r="H1012" s="38" t="s">
        <v>2062</v>
      </c>
      <c r="I1012" s="92"/>
      <c r="J1012" s="39" t="s">
        <v>2063</v>
      </c>
      <c r="K1012" s="92"/>
      <c r="L1012" s="96">
        <f>570*1</f>
        <v>570</v>
      </c>
      <c r="M1012" s="96">
        <f>570*4</f>
        <v>2280</v>
      </c>
      <c r="N1012" s="97">
        <v>44941</v>
      </c>
      <c r="O1012" s="98"/>
      <c r="P1012" s="98"/>
      <c r="Q1012" s="177" t="e">
        <f>MONTH([1]!Tableau13[[#This Row],[Date début]])</f>
        <v>#REF!</v>
      </c>
      <c r="R1012" s="181" t="e">
        <f>YEAR([1]!Tableau13[[#This Row],[Date début]])</f>
        <v>#REF!</v>
      </c>
      <c r="S1012" s="44"/>
      <c r="T1012" s="44"/>
    </row>
    <row r="1013" spans="1:20" s="75" customFormat="1" ht="30">
      <c r="A1013" s="91">
        <v>44936</v>
      </c>
      <c r="B1013" s="92">
        <v>406</v>
      </c>
      <c r="C1013" s="93" t="str">
        <f>IF(ISNA(VLOOKUP(Tableau13[[#This Row],[Code]],'Code Véhicule'!$A$4:$C$185,2,0)),"",VLOOKUP(Tableau13[[#This Row],[Code]],'Code Véhicule'!$A$4:$C$185,2,0))</f>
        <v>Semi remorque</v>
      </c>
      <c r="D1013" s="94" t="str">
        <f>IF(ISNA(VLOOKUP(Tableau13[[#This Row],[Code]],'Code Véhicule'!$A$4:$C$185,3,0)),"",VLOOKUP(Tableau13[[#This Row],[Code]],'Code Véhicule'!$A$4:$C$185,3,0))</f>
        <v>VOLVO</v>
      </c>
      <c r="E1013" s="92" t="str">
        <f>IF(ISNA(VLOOKUP(Tableau13[[#This Row],[Code]],'Code Véhicule'!$A$4:$D$185,4,0))," ",VLOOKUP(Tableau13[[#This Row],[Code]],'Code Véhicule'!$A$4:$D$185,4,0))</f>
        <v>70352-A-6</v>
      </c>
      <c r="F1013" s="92"/>
      <c r="G1013" s="38" t="s">
        <v>1534</v>
      </c>
      <c r="H1013" s="38" t="s">
        <v>2060</v>
      </c>
      <c r="I1013" s="36" t="s">
        <v>322</v>
      </c>
      <c r="J1013" s="39" t="s">
        <v>2061</v>
      </c>
      <c r="K1013" s="92"/>
      <c r="L1013" s="96">
        <v>750</v>
      </c>
      <c r="M1013" s="96">
        <v>750</v>
      </c>
      <c r="N1013" s="97">
        <v>44936</v>
      </c>
      <c r="O1013" s="98"/>
      <c r="P1013" s="98"/>
      <c r="Q1013" s="177" t="e">
        <f>MONTH([1]!Tableau13[[#This Row],[Date début]])</f>
        <v>#REF!</v>
      </c>
      <c r="R1013" s="181" t="e">
        <f>YEAR([1]!Tableau13[[#This Row],[Date début]])</f>
        <v>#REF!</v>
      </c>
      <c r="S1013" s="44"/>
      <c r="T1013" s="44"/>
    </row>
    <row r="1014" spans="1:20" s="75" customFormat="1" ht="75">
      <c r="A1014" s="91">
        <v>44936</v>
      </c>
      <c r="B1014" s="92">
        <v>427</v>
      </c>
      <c r="C1014" s="93" t="str">
        <f>IF(ISNA(VLOOKUP(Tableau13[[#This Row],[Code]],'Code Véhicule'!$A$4:$C$185,2,0)),"",VLOOKUP(Tableau13[[#This Row],[Code]],'Code Véhicule'!$A$4:$C$185,2,0))</f>
        <v>Chariot elevateur</v>
      </c>
      <c r="D1014" s="94" t="str">
        <f>IF(ISNA(VLOOKUP(Tableau13[[#This Row],[Code]],'Code Véhicule'!$A$4:$C$185,3,0)),"",VLOOKUP(Tableau13[[#This Row],[Code]],'Code Véhicule'!$A$4:$C$185,3,0))</f>
        <v>Linde H30</v>
      </c>
      <c r="E1014" s="92" t="str">
        <f>IF(ISNA(VLOOKUP(Tableau13[[#This Row],[Code]],'Code Véhicule'!$A$4:$D$185,4,0))," ",VLOOKUP(Tableau13[[#This Row],[Code]],'Code Véhicule'!$A$4:$D$185,4,0))</f>
        <v>-</v>
      </c>
      <c r="F1014" s="92"/>
      <c r="G1014" s="38" t="s">
        <v>1146</v>
      </c>
      <c r="H1014" s="38" t="s">
        <v>542</v>
      </c>
      <c r="I1014" s="36" t="s">
        <v>304</v>
      </c>
      <c r="J1014" s="39" t="s">
        <v>2059</v>
      </c>
      <c r="K1014" s="92"/>
      <c r="L1014" s="96">
        <v>240</v>
      </c>
      <c r="M1014" s="96">
        <v>240</v>
      </c>
      <c r="N1014" s="97">
        <v>44936</v>
      </c>
      <c r="O1014" s="98"/>
      <c r="P1014" s="98"/>
      <c r="Q1014" s="177" t="e">
        <f>MONTH([1]!Tableau13[[#This Row],[Date début]])</f>
        <v>#REF!</v>
      </c>
      <c r="R1014" s="181" t="e">
        <f>YEAR([1]!Tableau13[[#This Row],[Date début]])</f>
        <v>#REF!</v>
      </c>
      <c r="S1014" s="44"/>
      <c r="T1014" s="44"/>
    </row>
    <row r="1015" spans="1:20" s="75" customFormat="1" ht="23.25">
      <c r="A1015" s="91">
        <v>44938</v>
      </c>
      <c r="B1015" s="92">
        <v>411</v>
      </c>
      <c r="C1015" s="93" t="str">
        <f>IF(ISNA(VLOOKUP(Tableau13[[#This Row],[Code]],'Code Véhicule'!$A$4:$C$185,2,0)),"",VLOOKUP(Tableau13[[#This Row],[Code]],'Code Véhicule'!$A$4:$C$185,2,0))</f>
        <v>Camion</v>
      </c>
      <c r="D1015" s="94" t="str">
        <f>IF(ISNA(VLOOKUP(Tableau13[[#This Row],[Code]],'Code Véhicule'!$A$4:$C$185,3,0)),"",VLOOKUP(Tableau13[[#This Row],[Code]],'Code Véhicule'!$A$4:$C$185,3,0))</f>
        <v>Renault</v>
      </c>
      <c r="E1015" s="92" t="str">
        <f>IF(ISNA(VLOOKUP(Tableau13[[#This Row],[Code]],'Code Véhicule'!$A$4:$D$185,4,0))," ",VLOOKUP(Tableau13[[#This Row],[Code]],'Code Véhicule'!$A$4:$D$185,4,0))</f>
        <v>25636-A-13</v>
      </c>
      <c r="F1015" s="92"/>
      <c r="G1015" s="38" t="s">
        <v>2065</v>
      </c>
      <c r="H1015" s="38" t="s">
        <v>601</v>
      </c>
      <c r="I1015" s="36" t="s">
        <v>304</v>
      </c>
      <c r="J1015" s="95"/>
      <c r="K1015" s="92"/>
      <c r="L1015" s="96"/>
      <c r="M1015" s="96"/>
      <c r="N1015" s="97"/>
      <c r="O1015" s="98"/>
      <c r="P1015" s="98"/>
      <c r="Q1015" s="177" t="e">
        <f>MONTH([1]!Tableau13[[#This Row],[Date début]])</f>
        <v>#REF!</v>
      </c>
      <c r="R1015" s="181" t="e">
        <f>YEAR([1]!Tableau13[[#This Row],[Date début]])</f>
        <v>#REF!</v>
      </c>
      <c r="S1015" s="44"/>
      <c r="T1015" s="44"/>
    </row>
    <row r="1016" spans="1:20" s="75" customFormat="1" ht="60">
      <c r="A1016" s="91">
        <v>44938</v>
      </c>
      <c r="B1016" s="92">
        <v>436</v>
      </c>
      <c r="C1016" s="93" t="str">
        <f>IF(ISNA(VLOOKUP(Tableau13[[#This Row],[Code]],'Code Véhicule'!$A$4:$C$185,2,0)),"",VLOOKUP(Tableau13[[#This Row],[Code]],'Code Véhicule'!$A$4:$C$185,2,0))</f>
        <v>Camion</v>
      </c>
      <c r="D1016" s="94" t="str">
        <f>IF(ISNA(VLOOKUP(Tableau13[[#This Row],[Code]],'Code Véhicule'!$A$4:$C$185,3,0)),"",VLOOKUP(Tableau13[[#This Row],[Code]],'Code Véhicule'!$A$4:$C$185,3,0))</f>
        <v>Mitsubishi</v>
      </c>
      <c r="E1016" s="92" t="str">
        <f>IF(ISNA(VLOOKUP(Tableau13[[#This Row],[Code]],'Code Véhicule'!$A$4:$D$185,4,0))," ",VLOOKUP(Tableau13[[#This Row],[Code]],'Code Véhicule'!$A$4:$D$185,4,0))</f>
        <v>11470-A-73</v>
      </c>
      <c r="F1016" s="92"/>
      <c r="G1016" s="38" t="s">
        <v>620</v>
      </c>
      <c r="H1016" s="38" t="s">
        <v>2073</v>
      </c>
      <c r="I1016" s="36" t="s">
        <v>304</v>
      </c>
      <c r="J1016" s="39" t="s">
        <v>2074</v>
      </c>
      <c r="K1016" s="92"/>
      <c r="L1016" s="96"/>
      <c r="M1016" s="96"/>
      <c r="N1016" s="41" t="s">
        <v>322</v>
      </c>
      <c r="O1016" s="98"/>
      <c r="P1016" s="98"/>
      <c r="Q1016" s="177" t="e">
        <f>MONTH([1]!Tableau13[[#This Row],[Date début]])</f>
        <v>#REF!</v>
      </c>
      <c r="R1016" s="181" t="e">
        <f>YEAR([1]!Tableau13[[#This Row],[Date début]])</f>
        <v>#REF!</v>
      </c>
      <c r="S1016" s="44"/>
      <c r="T1016" s="44"/>
    </row>
    <row r="1017" spans="1:20" s="75" customFormat="1" ht="30">
      <c r="A1017" s="91">
        <v>44944</v>
      </c>
      <c r="B1017" s="92">
        <v>431</v>
      </c>
      <c r="C1017" s="93" t="str">
        <f>IF(ISNA(VLOOKUP(Tableau13[[#This Row],[Code]],'Code Véhicule'!$A$4:$C$185,2,0)),"",VLOOKUP(Tableau13[[#This Row],[Code]],'Code Véhicule'!$A$4:$C$185,2,0))</f>
        <v>Chariot elevateur</v>
      </c>
      <c r="D1017" s="94" t="str">
        <f>IF(ISNA(VLOOKUP(Tableau13[[#This Row],[Code]],'Code Véhicule'!$A$4:$C$185,3,0)),"",VLOOKUP(Tableau13[[#This Row],[Code]],'Code Véhicule'!$A$4:$C$185,3,0))</f>
        <v>Manitou M26-2</v>
      </c>
      <c r="E1017" s="92" t="str">
        <f>IF(ISNA(VLOOKUP(Tableau13[[#This Row],[Code]],'Code Véhicule'!$A$4:$D$185,4,0))," ",VLOOKUP(Tableau13[[#This Row],[Code]],'Code Véhicule'!$A$4:$D$185,4,0))</f>
        <v>-</v>
      </c>
      <c r="F1017" s="92"/>
      <c r="G1017" s="38" t="s">
        <v>2070</v>
      </c>
      <c r="H1017" s="38" t="s">
        <v>2071</v>
      </c>
      <c r="I1017" s="36" t="s">
        <v>322</v>
      </c>
      <c r="J1017" s="39" t="s">
        <v>2072</v>
      </c>
      <c r="K1017" s="92"/>
      <c r="L1017" s="96"/>
      <c r="M1017" s="96"/>
      <c r="N1017" s="97"/>
      <c r="O1017" s="98"/>
      <c r="P1017" s="98"/>
      <c r="Q1017" s="177" t="e">
        <f>MONTH([1]!Tableau13[[#This Row],[Date début]])</f>
        <v>#REF!</v>
      </c>
      <c r="R1017" s="181" t="e">
        <f>YEAR([1]!Tableau13[[#This Row],[Date début]])</f>
        <v>#REF!</v>
      </c>
      <c r="S1017" s="44"/>
      <c r="T1017" s="44"/>
    </row>
    <row r="1018" spans="1:20" s="75" customFormat="1" ht="93.75" customHeight="1">
      <c r="A1018" s="91">
        <v>44949</v>
      </c>
      <c r="B1018" s="92">
        <v>401</v>
      </c>
      <c r="C1018" s="93" t="str">
        <f>IF(ISNA(VLOOKUP(Tableau13[[#This Row],[Code]],'Code Véhicule'!$A$4:$C$185,2,0)),"",VLOOKUP(Tableau13[[#This Row],[Code]],'Code Véhicule'!$A$4:$C$185,2,0))</f>
        <v>Camion</v>
      </c>
      <c r="D1018" s="94" t="str">
        <f>IF(ISNA(VLOOKUP(Tableau13[[#This Row],[Code]],'Code Véhicule'!$A$4:$C$185,3,0)),"",VLOOKUP(Tableau13[[#This Row],[Code]],'Code Véhicule'!$A$4:$C$185,3,0))</f>
        <v>ISUZU</v>
      </c>
      <c r="E1018" s="92" t="str">
        <f>IF(ISNA(VLOOKUP(Tableau13[[#This Row],[Code]],'Code Véhicule'!$A$4:$D$185,4,0))," ",VLOOKUP(Tableau13[[#This Row],[Code]],'Code Véhicule'!$A$4:$D$185,4,0))</f>
        <v>26128-A-8</v>
      </c>
      <c r="F1018" s="92"/>
      <c r="G1018" s="38" t="s">
        <v>2066</v>
      </c>
      <c r="H1018" s="38" t="s">
        <v>701</v>
      </c>
      <c r="I1018" s="36" t="s">
        <v>322</v>
      </c>
      <c r="J1018" s="39" t="s">
        <v>2067</v>
      </c>
      <c r="K1018" s="92"/>
      <c r="L1018" s="96"/>
      <c r="M1018" s="96"/>
      <c r="N1018" s="97"/>
      <c r="O1018" s="98"/>
      <c r="P1018" s="98"/>
      <c r="Q1018" s="177" t="e">
        <f>MONTH([1]!Tableau13[[#This Row],[Date début]])</f>
        <v>#REF!</v>
      </c>
      <c r="R1018" s="181" t="e">
        <f>YEAR([1]!Tableau13[[#This Row],[Date début]])</f>
        <v>#REF!</v>
      </c>
      <c r="S1018" s="44"/>
      <c r="T1018" s="44"/>
    </row>
    <row r="1019" spans="1:20" s="75" customFormat="1" ht="30">
      <c r="A1019" s="91">
        <v>44950</v>
      </c>
      <c r="B1019" s="92">
        <v>427</v>
      </c>
      <c r="C1019" s="93" t="str">
        <f>IF(ISNA(VLOOKUP(Tableau13[[#This Row],[Code]],'Code Véhicule'!$A$4:$C$185,2,0)),"",VLOOKUP(Tableau13[[#This Row],[Code]],'Code Véhicule'!$A$4:$C$185,2,0))</f>
        <v>Chariot elevateur</v>
      </c>
      <c r="D1019" s="94" t="str">
        <f>IF(ISNA(VLOOKUP(Tableau13[[#This Row],[Code]],'Code Véhicule'!$A$4:$C$185,3,0)),"",VLOOKUP(Tableau13[[#This Row],[Code]],'Code Véhicule'!$A$4:$C$185,3,0))</f>
        <v>Linde H30</v>
      </c>
      <c r="E1019" s="92" t="str">
        <f>IF(ISNA(VLOOKUP(Tableau13[[#This Row],[Code]],'Code Véhicule'!$A$4:$D$185,4,0))," ",VLOOKUP(Tableau13[[#This Row],[Code]],'Code Véhicule'!$A$4:$D$185,4,0))</f>
        <v>-</v>
      </c>
      <c r="F1019" s="92"/>
      <c r="G1019" s="38" t="s">
        <v>493</v>
      </c>
      <c r="H1019" s="38" t="s">
        <v>2068</v>
      </c>
      <c r="I1019" s="36" t="s">
        <v>304</v>
      </c>
      <c r="J1019" s="39" t="s">
        <v>2069</v>
      </c>
      <c r="K1019" s="92"/>
      <c r="L1019" s="96"/>
      <c r="M1019" s="96"/>
      <c r="N1019" s="97"/>
      <c r="O1019" s="98"/>
      <c r="P1019" s="98"/>
      <c r="Q1019" s="177" t="e">
        <f>MONTH([1]!Tableau13[[#This Row],[Date début]])</f>
        <v>#REF!</v>
      </c>
      <c r="R1019" s="181" t="e">
        <f>YEAR([1]!Tableau13[[#This Row],[Date début]])</f>
        <v>#REF!</v>
      </c>
      <c r="S1019" s="44"/>
      <c r="T1019" s="44"/>
    </row>
    <row r="1020" spans="1:20" s="75" customFormat="1" ht="30">
      <c r="A1020" s="35">
        <v>44961</v>
      </c>
      <c r="B1020" s="36">
        <v>419</v>
      </c>
      <c r="C1020" s="37" t="str">
        <f>IF(ISNA(VLOOKUP(Tableau13[[#This Row],[Code]],'Code Véhicule'!$A$4:$C$185,2,0)),"",VLOOKUP(Tableau13[[#This Row],[Code]],'Code Véhicule'!$A$4:$C$185,2,0))</f>
        <v>Voiture de fonction</v>
      </c>
      <c r="D1020" s="38" t="str">
        <f>IF(ISNA(VLOOKUP(Tableau13[[#This Row],[Code]],'Code Véhicule'!$A$4:$C$185,3,0)),"",VLOOKUP(Tableau13[[#This Row],[Code]],'Code Véhicule'!$A$4:$C$185,3,0))</f>
        <v>kangoo</v>
      </c>
      <c r="E1020" s="36" t="str">
        <f>IF(ISNA(VLOOKUP(Tableau13[[#This Row],[Code]],'Code Véhicule'!$A$4:$D$185,4,0))," ",VLOOKUP(Tableau13[[#This Row],[Code]],'Code Véhicule'!$A$4:$D$185,4,0))</f>
        <v>4812-A-73</v>
      </c>
      <c r="F1020" s="36"/>
      <c r="G1020" s="38" t="s">
        <v>2088</v>
      </c>
      <c r="H1020" s="38" t="s">
        <v>2089</v>
      </c>
      <c r="I1020" s="36"/>
      <c r="J1020" s="39" t="s">
        <v>2090</v>
      </c>
      <c r="K1020" s="36"/>
      <c r="L1020" s="40"/>
      <c r="M1020" s="40"/>
      <c r="N1020" s="41">
        <v>44981</v>
      </c>
      <c r="O1020" s="45"/>
      <c r="P1020" s="45"/>
      <c r="Q1020" s="176" t="e">
        <f>MONTH([1]!Tableau13[[#This Row],[Date début]])</f>
        <v>#REF!</v>
      </c>
      <c r="R1020" s="180" t="e">
        <f>YEAR([1]!Tableau13[[#This Row],[Date début]])</f>
        <v>#REF!</v>
      </c>
      <c r="S1020" s="44"/>
      <c r="T1020" s="44"/>
    </row>
    <row r="1021" spans="1:20" s="75" customFormat="1" ht="30">
      <c r="A1021" s="35">
        <v>44963</v>
      </c>
      <c r="B1021" s="36">
        <v>483</v>
      </c>
      <c r="C1021" s="37" t="str">
        <f>IF(ISNA(VLOOKUP(Tableau13[[#This Row],[Code]],'Code Véhicule'!$A$4:$C$185,2,0)),"",VLOOKUP(Tableau13[[#This Row],[Code]],'Code Véhicule'!$A$4:$C$185,2,0))</f>
        <v>Chariot elevateur</v>
      </c>
      <c r="D1021" s="38" t="str">
        <f>IF(ISNA(VLOOKUP(Tableau13[[#This Row],[Code]],'Code Véhicule'!$A$4:$C$185,3,0)),"",VLOOKUP(Tableau13[[#This Row],[Code]],'Code Véhicule'!$A$4:$C$185,3,0))</f>
        <v>MI50D</v>
      </c>
      <c r="E1021" s="36">
        <f>IF(ISNA(VLOOKUP(Tableau13[[#This Row],[Code]],'Code Véhicule'!$A$4:$D$185,4,0))," ",VLOOKUP(Tableau13[[#This Row],[Code]],'Code Véhicule'!$A$4:$D$185,4,0))</f>
        <v>0</v>
      </c>
      <c r="F1021" s="36"/>
      <c r="G1021" s="38" t="s">
        <v>1151</v>
      </c>
      <c r="H1021" s="38" t="s">
        <v>2091</v>
      </c>
      <c r="I1021" s="36"/>
      <c r="J1021" s="39" t="s">
        <v>2092</v>
      </c>
      <c r="K1021" s="36"/>
      <c r="L1021" s="40"/>
      <c r="M1021" s="40"/>
      <c r="N1021" s="41"/>
      <c r="O1021" s="45"/>
      <c r="P1021" s="45"/>
      <c r="Q1021" s="176" t="e">
        <f>MONTH([1]!Tableau13[[#This Row],[Date début]])</f>
        <v>#REF!</v>
      </c>
      <c r="R1021" s="180" t="e">
        <f>YEAR([1]!Tableau13[[#This Row],[Date début]])</f>
        <v>#REF!</v>
      </c>
      <c r="S1021" s="44"/>
      <c r="T1021" s="44"/>
    </row>
    <row r="1022" spans="1:20" s="75" customFormat="1" ht="23.25">
      <c r="A1022" s="91">
        <v>44963</v>
      </c>
      <c r="B1022" s="92">
        <v>435</v>
      </c>
      <c r="C1022" s="93" t="str">
        <f>IF(ISNA(VLOOKUP(Tableau13[[#This Row],[Code]],'Code Véhicule'!$A$4:$C$185,2,0)),"",VLOOKUP(Tableau13[[#This Row],[Code]],'Code Véhicule'!$A$4:$C$185,2,0))</f>
        <v>Camion</v>
      </c>
      <c r="D1022" s="94" t="str">
        <f>IF(ISNA(VLOOKUP(Tableau13[[#This Row],[Code]],'Code Véhicule'!$A$4:$C$185,3,0)),"",VLOOKUP(Tableau13[[#This Row],[Code]],'Code Véhicule'!$A$4:$C$185,3,0))</f>
        <v>Mitsubishi</v>
      </c>
      <c r="E1022" s="92" t="str">
        <f>IF(ISNA(VLOOKUP(Tableau13[[#This Row],[Code]],'Code Véhicule'!$A$4:$D$185,4,0))," ",VLOOKUP(Tableau13[[#This Row],[Code]],'Code Véhicule'!$A$4:$D$185,4,0))</f>
        <v xml:space="preserve"> 11469-A-73</v>
      </c>
      <c r="F1022" s="92"/>
      <c r="G1022" s="38" t="s">
        <v>560</v>
      </c>
      <c r="H1022" s="38" t="s">
        <v>774</v>
      </c>
      <c r="I1022" s="92"/>
      <c r="J1022" s="39" t="s">
        <v>2080</v>
      </c>
      <c r="K1022" s="92"/>
      <c r="L1022" s="96"/>
      <c r="M1022" s="96"/>
      <c r="N1022" s="97"/>
      <c r="O1022" s="98"/>
      <c r="P1022" s="98"/>
      <c r="Q1022" s="177" t="e">
        <f>MONTH([1]!Tableau13[[#This Row],[Date début]])</f>
        <v>#REF!</v>
      </c>
      <c r="R1022" s="181" t="e">
        <f>YEAR([1]!Tableau13[[#This Row],[Date début]])</f>
        <v>#REF!</v>
      </c>
      <c r="S1022" s="44"/>
      <c r="T1022" s="44"/>
    </row>
    <row r="1023" spans="1:20" s="75" customFormat="1" ht="23.25">
      <c r="A1023" s="91">
        <v>44964</v>
      </c>
      <c r="B1023" s="92">
        <v>411</v>
      </c>
      <c r="C1023" s="93" t="str">
        <f>IF(ISNA(VLOOKUP(Tableau13[[#This Row],[Code]],'Code Véhicule'!$A$4:$C$185,2,0)),"",VLOOKUP(Tableau13[[#This Row],[Code]],'Code Véhicule'!$A$4:$C$185,2,0))</f>
        <v>Camion</v>
      </c>
      <c r="D1023" s="94" t="str">
        <f>IF(ISNA(VLOOKUP(Tableau13[[#This Row],[Code]],'Code Véhicule'!$A$4:$C$185,3,0)),"",VLOOKUP(Tableau13[[#This Row],[Code]],'Code Véhicule'!$A$4:$C$185,3,0))</f>
        <v>Renault</v>
      </c>
      <c r="E1023" s="92" t="str">
        <f>IF(ISNA(VLOOKUP(Tableau13[[#This Row],[Code]],'Code Véhicule'!$A$4:$D$185,4,0))," ",VLOOKUP(Tableau13[[#This Row],[Code]],'Code Véhicule'!$A$4:$D$185,4,0))</f>
        <v>25636-A-13</v>
      </c>
      <c r="F1023" s="92"/>
      <c r="G1023" s="38" t="s">
        <v>2081</v>
      </c>
      <c r="H1023" s="38" t="s">
        <v>601</v>
      </c>
      <c r="I1023" s="92"/>
      <c r="J1023" s="39" t="s">
        <v>591</v>
      </c>
      <c r="K1023" s="92"/>
      <c r="L1023" s="96"/>
      <c r="M1023" s="96"/>
      <c r="N1023" s="97"/>
      <c r="O1023" s="98"/>
      <c r="P1023" s="98"/>
      <c r="Q1023" s="177" t="e">
        <f>MONTH([1]!Tableau13[[#This Row],[Date début]])</f>
        <v>#REF!</v>
      </c>
      <c r="R1023" s="181" t="e">
        <f>YEAR([1]!Tableau13[[#This Row],[Date début]])</f>
        <v>#REF!</v>
      </c>
      <c r="S1023" s="44"/>
      <c r="T1023" s="44"/>
    </row>
    <row r="1024" spans="1:20" s="75" customFormat="1" ht="23.25">
      <c r="A1024" s="91">
        <v>44965</v>
      </c>
      <c r="B1024" s="92">
        <v>480</v>
      </c>
      <c r="C1024" s="93" t="str">
        <f>IF(ISNA(VLOOKUP(Tableau13[[#This Row],[Code]],'Code Véhicule'!$A$4:$C$185,2,0)),"",VLOOKUP(Tableau13[[#This Row],[Code]],'Code Véhicule'!$A$4:$C$185,2,0))</f>
        <v>Camion</v>
      </c>
      <c r="D1024" s="94" t="str">
        <f>IF(ISNA(VLOOKUP(Tableau13[[#This Row],[Code]],'Code Véhicule'!$A$4:$C$185,3,0)),"",VLOOKUP(Tableau13[[#This Row],[Code]],'Code Véhicule'!$A$4:$C$185,3,0))</f>
        <v>VOLVO</v>
      </c>
      <c r="E1024" s="92" t="str">
        <f>IF(ISNA(VLOOKUP(Tableau13[[#This Row],[Code]],'Code Véhicule'!$A$4:$D$185,4,0))," ",VLOOKUP(Tableau13[[#This Row],[Code]],'Code Véhicule'!$A$4:$D$185,4,0))</f>
        <v>22299-A-73</v>
      </c>
      <c r="F1024" s="92"/>
      <c r="G1024" s="38" t="s">
        <v>610</v>
      </c>
      <c r="H1024" s="38" t="s">
        <v>2075</v>
      </c>
      <c r="I1024" s="92"/>
      <c r="J1024" s="39" t="s">
        <v>2076</v>
      </c>
      <c r="K1024" s="92"/>
      <c r="L1024" s="96"/>
      <c r="M1024" s="96"/>
      <c r="N1024" s="97"/>
      <c r="O1024" s="98"/>
      <c r="P1024" s="98"/>
      <c r="Q1024" s="177" t="e">
        <f>MONTH([1]!Tableau13[[#This Row],[Date début]])</f>
        <v>#REF!</v>
      </c>
      <c r="R1024" s="181" t="e">
        <f>YEAR([1]!Tableau13[[#This Row],[Date début]])</f>
        <v>#REF!</v>
      </c>
      <c r="S1024" s="44"/>
      <c r="T1024" s="44"/>
    </row>
    <row r="1025" spans="1:20" s="75" customFormat="1" ht="23.25">
      <c r="A1025" s="91">
        <v>44965</v>
      </c>
      <c r="B1025" s="92">
        <v>471</v>
      </c>
      <c r="C1025" s="93" t="str">
        <f>IF(ISNA(VLOOKUP(Tableau13[[#This Row],[Code]],'Code Véhicule'!$A$4:$C$185,2,0)),"",VLOOKUP(Tableau13[[#This Row],[Code]],'Code Véhicule'!$A$4:$C$185,2,0))</f>
        <v>Bus de transport</v>
      </c>
      <c r="D1025" s="94" t="str">
        <f>IF(ISNA(VLOOKUP(Tableau13[[#This Row],[Code]],'Code Véhicule'!$A$4:$C$185,3,0)),"",VLOOKUP(Tableau13[[#This Row],[Code]],'Code Véhicule'!$A$4:$C$185,3,0))</f>
        <v xml:space="preserve">Hyundai County </v>
      </c>
      <c r="E1025" s="92" t="str">
        <f>IF(ISNA(VLOOKUP(Tableau13[[#This Row],[Code]],'Code Véhicule'!$A$4:$D$185,4,0))," ",VLOOKUP(Tableau13[[#This Row],[Code]],'Code Véhicule'!$A$4:$D$185,4,0))</f>
        <v>18516-A-73</v>
      </c>
      <c r="F1025" s="92"/>
      <c r="G1025" s="38" t="s">
        <v>2077</v>
      </c>
      <c r="H1025" s="38" t="s">
        <v>2078</v>
      </c>
      <c r="I1025" s="92"/>
      <c r="J1025" s="39" t="s">
        <v>2079</v>
      </c>
      <c r="K1025" s="92"/>
      <c r="L1025" s="96"/>
      <c r="M1025" s="96"/>
      <c r="N1025" s="97"/>
      <c r="O1025" s="98"/>
      <c r="P1025" s="98"/>
      <c r="Q1025" s="177" t="e">
        <f>MONTH([1]!Tableau13[[#This Row],[Date début]])</f>
        <v>#REF!</v>
      </c>
      <c r="R1025" s="181" t="e">
        <f>YEAR([1]!Tableau13[[#This Row],[Date début]])</f>
        <v>#REF!</v>
      </c>
      <c r="S1025" s="44"/>
      <c r="T1025" s="44"/>
    </row>
    <row r="1026" spans="1:20" s="75" customFormat="1" ht="23.25">
      <c r="A1026" s="91">
        <v>44965</v>
      </c>
      <c r="B1026" s="92"/>
      <c r="C1026" s="93" t="str">
        <f>IF(ISNA(VLOOKUP(Tableau13[[#This Row],[Code]],'Code Véhicule'!$A$4:$C$185,2,0)),"",VLOOKUP(Tableau13[[#This Row],[Code]],'Code Véhicule'!$A$4:$C$185,2,0))</f>
        <v/>
      </c>
      <c r="D1026" s="94" t="str">
        <f>IF(ISNA(VLOOKUP(Tableau13[[#This Row],[Code]],'Code Véhicule'!$A$4:$C$185,3,0)),"",VLOOKUP(Tableau13[[#This Row],[Code]],'Code Véhicule'!$A$4:$C$185,3,0))</f>
        <v/>
      </c>
      <c r="E1026" s="92" t="str">
        <f>IF(ISNA(VLOOKUP(Tableau13[[#This Row],[Code]],'Code Véhicule'!$A$4:$D$185,4,0))," ",VLOOKUP(Tableau13[[#This Row],[Code]],'Code Véhicule'!$A$4:$D$185,4,0))</f>
        <v xml:space="preserve"> </v>
      </c>
      <c r="F1026" s="92"/>
      <c r="G1026" s="38" t="s">
        <v>610</v>
      </c>
      <c r="H1026" s="38" t="s">
        <v>2082</v>
      </c>
      <c r="I1026" s="92"/>
      <c r="J1026" s="39" t="s">
        <v>2083</v>
      </c>
      <c r="K1026" s="92"/>
      <c r="L1026" s="96"/>
      <c r="M1026" s="96"/>
      <c r="N1026" s="97"/>
      <c r="O1026" s="98"/>
      <c r="P1026" s="98"/>
      <c r="Q1026" s="177" t="e">
        <f>MONTH([1]!Tableau13[[#This Row],[Date début]])</f>
        <v>#REF!</v>
      </c>
      <c r="R1026" s="181" t="e">
        <f>YEAR([1]!Tableau13[[#This Row],[Date début]])</f>
        <v>#REF!</v>
      </c>
      <c r="S1026" s="44"/>
      <c r="T1026" s="44"/>
    </row>
    <row r="1027" spans="1:20" s="75" customFormat="1" ht="30">
      <c r="A1027" s="91">
        <v>44966</v>
      </c>
      <c r="B1027" s="92">
        <v>403</v>
      </c>
      <c r="C1027" s="93" t="str">
        <f>IF(ISNA(VLOOKUP(Tableau13[[#This Row],[Code]],'Code Véhicule'!$A$4:$C$185,2,0)),"",VLOOKUP(Tableau13[[#This Row],[Code]],'Code Véhicule'!$A$4:$C$185,2,0))</f>
        <v>Camion</v>
      </c>
      <c r="D1027" s="94" t="str">
        <f>IF(ISNA(VLOOKUP(Tableau13[[#This Row],[Code]],'Code Véhicule'!$A$4:$C$185,3,0)),"",VLOOKUP(Tableau13[[#This Row],[Code]],'Code Véhicule'!$A$4:$C$185,3,0))</f>
        <v>MAN</v>
      </c>
      <c r="E1027" s="92" t="str">
        <f>IF(ISNA(VLOOKUP(Tableau13[[#This Row],[Code]],'Code Véhicule'!$A$4:$D$185,4,0))," ",VLOOKUP(Tableau13[[#This Row],[Code]],'Code Véhicule'!$A$4:$D$185,4,0))</f>
        <v>4790-B-8</v>
      </c>
      <c r="F1027" s="36"/>
      <c r="G1027" s="36" t="s">
        <v>2084</v>
      </c>
      <c r="H1027" s="38" t="s">
        <v>2085</v>
      </c>
      <c r="I1027" s="92"/>
      <c r="J1027" s="39" t="s">
        <v>2086</v>
      </c>
      <c r="K1027" s="92"/>
      <c r="L1027" s="96"/>
      <c r="M1027" s="96"/>
      <c r="N1027" s="97"/>
      <c r="O1027" s="98"/>
      <c r="P1027" s="98"/>
      <c r="Q1027" s="177" t="e">
        <f>MONTH([1]!Tableau13[[#This Row],[Date début]])</f>
        <v>#REF!</v>
      </c>
      <c r="R1027" s="181" t="e">
        <f>YEAR([1]!Tableau13[[#This Row],[Date début]])</f>
        <v>#REF!</v>
      </c>
      <c r="S1027" s="44"/>
      <c r="T1027" s="44"/>
    </row>
    <row r="1028" spans="1:20" s="75" customFormat="1" ht="23.25">
      <c r="A1028" s="35">
        <v>44972</v>
      </c>
      <c r="B1028" s="36">
        <v>411</v>
      </c>
      <c r="C1028" s="37" t="str">
        <f>IF(ISNA(VLOOKUP(Tableau13[[#This Row],[Code]],'Code Véhicule'!$A$4:$C$185,2,0)),"",VLOOKUP(Tableau13[[#This Row],[Code]],'Code Véhicule'!$A$4:$C$185,2,0))</f>
        <v>Camion</v>
      </c>
      <c r="D1028" s="38" t="str">
        <f>IF(ISNA(VLOOKUP(Tableau13[[#This Row],[Code]],'Code Véhicule'!$A$4:$C$185,3,0)),"",VLOOKUP(Tableau13[[#This Row],[Code]],'Code Véhicule'!$A$4:$C$185,3,0))</f>
        <v>Renault</v>
      </c>
      <c r="E1028" s="36" t="str">
        <f>IF(ISNA(VLOOKUP(Tableau13[[#This Row],[Code]],'Code Véhicule'!$A$4:$D$185,4,0))," ",VLOOKUP(Tableau13[[#This Row],[Code]],'Code Véhicule'!$A$4:$D$185,4,0))</f>
        <v>25636-A-13</v>
      </c>
      <c r="F1028" s="36"/>
      <c r="G1028" s="38" t="s">
        <v>2094</v>
      </c>
      <c r="H1028" s="38" t="s">
        <v>2095</v>
      </c>
      <c r="I1028" s="36"/>
      <c r="J1028" s="39" t="s">
        <v>2096</v>
      </c>
      <c r="K1028" s="36"/>
      <c r="L1028" s="40"/>
      <c r="M1028" s="40"/>
      <c r="N1028" s="41">
        <v>44975</v>
      </c>
      <c r="O1028" s="45"/>
      <c r="P1028" s="45"/>
      <c r="Q1028" s="176" t="e">
        <f>MONTH([1]!Tableau13[[#This Row],[Date début]])</f>
        <v>#REF!</v>
      </c>
      <c r="R1028" s="180" t="e">
        <f>YEAR([1]!Tableau13[[#This Row],[Date début]])</f>
        <v>#REF!</v>
      </c>
      <c r="S1028" s="44"/>
      <c r="T1028" s="44"/>
    </row>
    <row r="1029" spans="1:20" s="75" customFormat="1" ht="30">
      <c r="A1029" s="91">
        <v>44974</v>
      </c>
      <c r="B1029" s="92">
        <v>401</v>
      </c>
      <c r="C1029" s="93" t="str">
        <f>IF(ISNA(VLOOKUP(Tableau13[[#This Row],[Code]],'Code Véhicule'!$A$4:$C$185,2,0)),"",VLOOKUP(Tableau13[[#This Row],[Code]],'Code Véhicule'!$A$4:$C$185,2,0))</f>
        <v>Camion</v>
      </c>
      <c r="D1029" s="94" t="str">
        <f>IF(ISNA(VLOOKUP(Tableau13[[#This Row],[Code]],'Code Véhicule'!$A$4:$C$185,3,0)),"",VLOOKUP(Tableau13[[#This Row],[Code]],'Code Véhicule'!$A$4:$C$185,3,0))</f>
        <v>ISUZU</v>
      </c>
      <c r="E1029" s="92" t="str">
        <f>IF(ISNA(VLOOKUP(Tableau13[[#This Row],[Code]],'Code Véhicule'!$A$4:$D$185,4,0))," ",VLOOKUP(Tableau13[[#This Row],[Code]],'Code Véhicule'!$A$4:$D$185,4,0))</f>
        <v>26128-A-8</v>
      </c>
      <c r="F1029" s="92"/>
      <c r="G1029" s="38" t="s">
        <v>774</v>
      </c>
      <c r="H1029" s="38" t="s">
        <v>775</v>
      </c>
      <c r="I1029" s="92"/>
      <c r="J1029" s="39" t="s">
        <v>2087</v>
      </c>
      <c r="K1029" s="92"/>
      <c r="L1029" s="96"/>
      <c r="M1029" s="96"/>
      <c r="N1029" s="97">
        <v>44974</v>
      </c>
      <c r="O1029" s="98"/>
      <c r="P1029" s="98"/>
      <c r="Q1029" s="177" t="e">
        <f>MONTH([1]!Tableau13[[#This Row],[Date début]])</f>
        <v>#REF!</v>
      </c>
      <c r="R1029" s="181" t="e">
        <f>YEAR([1]!Tableau13[[#This Row],[Date début]])</f>
        <v>#REF!</v>
      </c>
      <c r="S1029" s="44"/>
      <c r="T1029" s="44"/>
    </row>
    <row r="1030" spans="1:20" s="75" customFormat="1" ht="30">
      <c r="A1030" s="91">
        <v>44978</v>
      </c>
      <c r="B1030" s="92">
        <v>471</v>
      </c>
      <c r="C1030" s="93" t="str">
        <f>IF(ISNA(VLOOKUP(Tableau13[[#This Row],[Code]],'Code Véhicule'!$A$4:$C$185,2,0)),"",VLOOKUP(Tableau13[[#This Row],[Code]],'Code Véhicule'!$A$4:$C$185,2,0))</f>
        <v>Bus de transport</v>
      </c>
      <c r="D1030" s="94" t="str">
        <f>IF(ISNA(VLOOKUP(Tableau13[[#This Row],[Code]],'Code Véhicule'!$A$4:$C$185,3,0)),"",VLOOKUP(Tableau13[[#This Row],[Code]],'Code Véhicule'!$A$4:$C$185,3,0))</f>
        <v xml:space="preserve">Hyundai County </v>
      </c>
      <c r="E1030" s="92" t="str">
        <f>IF(ISNA(VLOOKUP(Tableau13[[#This Row],[Code]],'Code Véhicule'!$A$4:$D$185,4,0))," ",VLOOKUP(Tableau13[[#This Row],[Code]],'Code Véhicule'!$A$4:$D$185,4,0))</f>
        <v>18516-A-73</v>
      </c>
      <c r="F1030" s="92"/>
      <c r="G1030" s="38" t="s">
        <v>2084</v>
      </c>
      <c r="H1030" s="38" t="s">
        <v>2093</v>
      </c>
      <c r="I1030" s="92"/>
      <c r="J1030" s="39" t="s">
        <v>758</v>
      </c>
      <c r="K1030" s="92"/>
      <c r="L1030" s="96"/>
      <c r="M1030" s="96"/>
      <c r="N1030" s="97"/>
      <c r="O1030" s="98"/>
      <c r="P1030" s="98"/>
      <c r="Q1030" s="177" t="e">
        <f>MONTH([1]!Tableau13[[#This Row],[Date début]])</f>
        <v>#REF!</v>
      </c>
      <c r="R1030" s="181" t="e">
        <f>YEAR([1]!Tableau13[[#This Row],[Date début]])</f>
        <v>#REF!</v>
      </c>
      <c r="S1030" s="44"/>
      <c r="T1030" s="44"/>
    </row>
    <row r="1031" spans="1:20" s="75" customFormat="1" ht="30">
      <c r="A1031" s="91">
        <v>44979</v>
      </c>
      <c r="B1031" s="92">
        <v>403</v>
      </c>
      <c r="C1031" s="93" t="str">
        <f>IF(ISNA(VLOOKUP(Tableau13[[#This Row],[Code]],'Code Véhicule'!$A$4:$C$185,2,0)),"",VLOOKUP(Tableau13[[#This Row],[Code]],'Code Véhicule'!$A$4:$C$185,2,0))</f>
        <v>Camion</v>
      </c>
      <c r="D1031" s="94" t="str">
        <f>IF(ISNA(VLOOKUP(Tableau13[[#This Row],[Code]],'Code Véhicule'!$A$4:$C$185,3,0)),"",VLOOKUP(Tableau13[[#This Row],[Code]],'Code Véhicule'!$A$4:$C$185,3,0))</f>
        <v>MAN</v>
      </c>
      <c r="E1031" s="92" t="str">
        <f>IF(ISNA(VLOOKUP(Tableau13[[#This Row],[Code]],'Code Véhicule'!$A$4:$D$185,4,0))," ",VLOOKUP(Tableau13[[#This Row],[Code]],'Code Véhicule'!$A$4:$D$185,4,0))</f>
        <v>4790-B-8</v>
      </c>
      <c r="F1031" s="92"/>
      <c r="G1031" s="38" t="s">
        <v>2097</v>
      </c>
      <c r="H1031" s="38" t="s">
        <v>2098</v>
      </c>
      <c r="I1031" s="92"/>
      <c r="J1031" s="39" t="s">
        <v>2099</v>
      </c>
      <c r="K1031" s="92"/>
      <c r="L1031" s="96"/>
      <c r="M1031" s="96"/>
      <c r="N1031" s="97"/>
      <c r="O1031" s="98"/>
      <c r="P1031" s="98"/>
      <c r="Q1031" s="177" t="e">
        <f>MONTH([1]!Tableau13[[#This Row],[Date début]])</f>
        <v>#REF!</v>
      </c>
      <c r="R1031" s="181" t="e">
        <f>YEAR([1]!Tableau13[[#This Row],[Date début]])</f>
        <v>#REF!</v>
      </c>
      <c r="S1031" s="44"/>
      <c r="T1031" s="44"/>
    </row>
    <row r="1032" spans="1:20" s="75" customFormat="1" ht="45">
      <c r="A1032" s="150">
        <v>44986</v>
      </c>
      <c r="B1032" s="151"/>
      <c r="C1032" s="152" t="s">
        <v>2101</v>
      </c>
      <c r="D1032" s="153" t="str">
        <f>IF(ISNA(VLOOKUP(Tableau13[[#This Row],[Code]],'Code Véhicule'!$A$4:$C$185,3,0)),"",VLOOKUP(Tableau13[[#This Row],[Code]],'Code Véhicule'!$A$4:$C$185,3,0))</f>
        <v/>
      </c>
      <c r="E1032" s="151" t="str">
        <f>IF(ISNA(VLOOKUP(Tableau13[[#This Row],[Code]],'Code Véhicule'!$A$4:$D$185,4,0))," ",VLOOKUP(Tableau13[[#This Row],[Code]],'Code Véhicule'!$A$4:$D$185,4,0))</f>
        <v xml:space="preserve"> </v>
      </c>
      <c r="F1032" s="151"/>
      <c r="G1032" s="153" t="s">
        <v>2097</v>
      </c>
      <c r="H1032" s="153" t="s">
        <v>2102</v>
      </c>
      <c r="I1032" s="151" t="s">
        <v>322</v>
      </c>
      <c r="J1032" s="154" t="s">
        <v>2103</v>
      </c>
      <c r="K1032" s="151"/>
      <c r="L1032" s="155">
        <f>570*12</f>
        <v>6840</v>
      </c>
      <c r="M1032" s="155">
        <f>570*15</f>
        <v>8550</v>
      </c>
      <c r="N1032" s="156">
        <v>44987</v>
      </c>
      <c r="O1032" s="157"/>
      <c r="P1032" s="157"/>
      <c r="Q1032" s="179" t="e">
        <f>MONTH([1]!Tableau13[[#This Row],[Date début]])</f>
        <v>#REF!</v>
      </c>
      <c r="R1032" s="183" t="e">
        <f>YEAR([1]!Tableau13[[#This Row],[Date début]])</f>
        <v>#REF!</v>
      </c>
      <c r="S1032" s="44"/>
      <c r="T1032" s="44"/>
    </row>
    <row r="1033" spans="1:20" s="75" customFormat="1" ht="60">
      <c r="A1033" s="91">
        <v>44986</v>
      </c>
      <c r="B1033" s="92">
        <v>472</v>
      </c>
      <c r="C1033" s="93" t="str">
        <f>IF(ISNA(VLOOKUP(Tableau13[[#This Row],[Code]],'Code Véhicule'!$A$4:$C$185,2,0)),"",VLOOKUP(Tableau13[[#This Row],[Code]],'Code Véhicule'!$A$4:$C$185,2,0))</f>
        <v>Chariot elevateur</v>
      </c>
      <c r="D1033" s="94" t="str">
        <f>IF(ISNA(VLOOKUP(Tableau13[[#This Row],[Code]],'Code Véhicule'!$A$4:$C$185,3,0)),"",VLOOKUP(Tableau13[[#This Row],[Code]],'Code Véhicule'!$A$4:$C$185,3,0))</f>
        <v>Linde H25d</v>
      </c>
      <c r="E1033" s="92" t="str">
        <f>IF(ISNA(VLOOKUP(Tableau13[[#This Row],[Code]],'Code Véhicule'!$A$4:$D$185,4,0))," ",VLOOKUP(Tableau13[[#This Row],[Code]],'Code Véhicule'!$A$4:$D$185,4,0))</f>
        <v>-</v>
      </c>
      <c r="F1033" s="92"/>
      <c r="G1033" s="38" t="s">
        <v>327</v>
      </c>
      <c r="H1033" s="38" t="s">
        <v>1034</v>
      </c>
      <c r="I1033" s="36" t="s">
        <v>304</v>
      </c>
      <c r="J1033" s="39" t="s">
        <v>2136</v>
      </c>
      <c r="K1033" s="92"/>
      <c r="L1033" s="96">
        <f>570*24</f>
        <v>13680</v>
      </c>
      <c r="M1033" s="96">
        <v>13680</v>
      </c>
      <c r="N1033" s="97">
        <v>45015</v>
      </c>
      <c r="O1033" s="98"/>
      <c r="P1033" s="98"/>
      <c r="Q1033" s="177" t="e">
        <f>MONTH([1]!Tableau13[[#This Row],[Date début]])</f>
        <v>#REF!</v>
      </c>
      <c r="R1033" s="181" t="e">
        <f>YEAR([1]!Tableau13[[#This Row],[Date début]])</f>
        <v>#REF!</v>
      </c>
      <c r="S1033" s="44"/>
      <c r="T1033" s="44"/>
    </row>
    <row r="1034" spans="1:20" s="75" customFormat="1" ht="30">
      <c r="A1034" s="91">
        <v>44987</v>
      </c>
      <c r="B1034" s="92">
        <v>406</v>
      </c>
      <c r="C1034" s="93" t="str">
        <f>IF(ISNA(VLOOKUP(Tableau13[[#This Row],[Code]],'Code Véhicule'!$A$4:$C$185,2,0)),"",VLOOKUP(Tableau13[[#This Row],[Code]],'Code Véhicule'!$A$4:$C$185,2,0))</f>
        <v>Semi remorque</v>
      </c>
      <c r="D1034" s="94" t="str">
        <f>IF(ISNA(VLOOKUP(Tableau13[[#This Row],[Code]],'Code Véhicule'!$A$4:$C$185,3,0)),"",VLOOKUP(Tableau13[[#This Row],[Code]],'Code Véhicule'!$A$4:$C$185,3,0))</f>
        <v>VOLVO</v>
      </c>
      <c r="E1034" s="92" t="str">
        <f>IF(ISNA(VLOOKUP(Tableau13[[#This Row],[Code]],'Code Véhicule'!$A$4:$D$185,4,0))," ",VLOOKUP(Tableau13[[#This Row],[Code]],'Code Véhicule'!$A$4:$D$185,4,0))</f>
        <v>70352-A-6</v>
      </c>
      <c r="F1034" s="92"/>
      <c r="G1034" s="38" t="s">
        <v>393</v>
      </c>
      <c r="H1034" s="38" t="s">
        <v>608</v>
      </c>
      <c r="I1034" s="92"/>
      <c r="J1034" s="39" t="s">
        <v>2100</v>
      </c>
      <c r="K1034" s="92"/>
      <c r="L1034" s="96">
        <v>180</v>
      </c>
      <c r="M1034" s="96">
        <v>180</v>
      </c>
      <c r="N1034" s="97">
        <v>44987</v>
      </c>
      <c r="O1034" s="98"/>
      <c r="P1034" s="98"/>
      <c r="Q1034" s="177" t="e">
        <f>MONTH([1]!Tableau13[[#This Row],[Date début]])</f>
        <v>#REF!</v>
      </c>
      <c r="R1034" s="181" t="e">
        <f>YEAR([1]!Tableau13[[#This Row],[Date début]])</f>
        <v>#REF!</v>
      </c>
      <c r="S1034" s="44"/>
      <c r="T1034" s="44"/>
    </row>
    <row r="1035" spans="1:20" s="75" customFormat="1" ht="23.25">
      <c r="A1035" s="91">
        <v>44987</v>
      </c>
      <c r="B1035" s="92">
        <v>407</v>
      </c>
      <c r="C1035" s="93" t="str">
        <f>IF(ISNA(VLOOKUP(Tableau13[[#This Row],[Code]],'Code Véhicule'!$A$4:$C$185,2,0)),"",VLOOKUP(Tableau13[[#This Row],[Code]],'Code Véhicule'!$A$4:$C$185,2,0))</f>
        <v>Semi remorque</v>
      </c>
      <c r="D1035" s="94" t="str">
        <f>IF(ISNA(VLOOKUP(Tableau13[[#This Row],[Code]],'Code Véhicule'!$A$4:$C$185,3,0)),"",VLOOKUP(Tableau13[[#This Row],[Code]],'Code Véhicule'!$A$4:$C$185,3,0))</f>
        <v>MAN</v>
      </c>
      <c r="E1035" s="92" t="str">
        <f>IF(ISNA(VLOOKUP(Tableau13[[#This Row],[Code]],'Code Véhicule'!$A$4:$D$185,4,0))," ",VLOOKUP(Tableau13[[#This Row],[Code]],'Code Véhicule'!$A$4:$D$185,4,0))</f>
        <v>706-A-73</v>
      </c>
      <c r="F1035" s="92"/>
      <c r="G1035" s="38" t="s">
        <v>560</v>
      </c>
      <c r="H1035" s="38" t="s">
        <v>604</v>
      </c>
      <c r="I1035" s="36" t="s">
        <v>322</v>
      </c>
      <c r="J1035" s="39" t="s">
        <v>530</v>
      </c>
      <c r="K1035" s="92"/>
      <c r="L1035" s="96">
        <v>180</v>
      </c>
      <c r="M1035" s="96">
        <v>180</v>
      </c>
      <c r="N1035" s="97">
        <v>44987</v>
      </c>
      <c r="O1035" s="98"/>
      <c r="P1035" s="98"/>
      <c r="Q1035" s="177" t="e">
        <f>MONTH([1]!Tableau13[[#This Row],[Date début]])</f>
        <v>#REF!</v>
      </c>
      <c r="R1035" s="181" t="e">
        <f>YEAR([1]!Tableau13[[#This Row],[Date début]])</f>
        <v>#REF!</v>
      </c>
      <c r="S1035" s="44"/>
      <c r="T1035" s="44"/>
    </row>
    <row r="1036" spans="1:20" s="75" customFormat="1" ht="23.25">
      <c r="A1036" s="91">
        <v>44987</v>
      </c>
      <c r="B1036" s="92">
        <v>434</v>
      </c>
      <c r="C1036" s="93" t="str">
        <f>IF(ISNA(VLOOKUP(Tableau13[[#This Row],[Code]],'Code Véhicule'!$A$4:$C$185,2,0)),"",VLOOKUP(Tableau13[[#This Row],[Code]],'Code Véhicule'!$A$4:$C$185,2,0))</f>
        <v>Chariot elevateur</v>
      </c>
      <c r="D1036" s="94" t="str">
        <f>IF(ISNA(VLOOKUP(Tableau13[[#This Row],[Code]],'Code Véhicule'!$A$4:$C$185,3,0)),"",VLOOKUP(Tableau13[[#This Row],[Code]],'Code Véhicule'!$A$4:$C$185,3,0))</f>
        <v>Linde H30D</v>
      </c>
      <c r="E1036" s="92" t="str">
        <f>IF(ISNA(VLOOKUP(Tableau13[[#This Row],[Code]],'Code Véhicule'!$A$4:$D$185,4,0))," ",VLOOKUP(Tableau13[[#This Row],[Code]],'Code Véhicule'!$A$4:$D$185,4,0))</f>
        <v>-</v>
      </c>
      <c r="F1036" s="92"/>
      <c r="G1036" s="38" t="s">
        <v>1840</v>
      </c>
      <c r="H1036" s="38" t="s">
        <v>2104</v>
      </c>
      <c r="I1036" s="36" t="s">
        <v>304</v>
      </c>
      <c r="J1036" s="39" t="s">
        <v>2105</v>
      </c>
      <c r="K1036" s="92"/>
      <c r="L1036" s="96">
        <v>570</v>
      </c>
      <c r="M1036" s="96">
        <v>1140</v>
      </c>
      <c r="N1036" s="97">
        <v>44987</v>
      </c>
      <c r="O1036" s="98"/>
      <c r="P1036" s="98"/>
      <c r="Q1036" s="177" t="e">
        <f>MONTH([1]!Tableau13[[#This Row],[Date début]])</f>
        <v>#REF!</v>
      </c>
      <c r="R1036" s="181" t="e">
        <f>YEAR([1]!Tableau13[[#This Row],[Date début]])</f>
        <v>#REF!</v>
      </c>
      <c r="S1036" s="44"/>
      <c r="T1036" s="44"/>
    </row>
    <row r="1037" spans="1:20" s="75" customFormat="1" ht="23.25">
      <c r="A1037" s="91">
        <v>44987</v>
      </c>
      <c r="B1037" s="92">
        <v>430</v>
      </c>
      <c r="C1037" s="93" t="str">
        <f>IF(ISNA(VLOOKUP(Tableau13[[#This Row],[Code]],'Code Véhicule'!$A$4:$C$185,2,0)),"",VLOOKUP(Tableau13[[#This Row],[Code]],'Code Véhicule'!$A$4:$C$185,2,0))</f>
        <v>Chariot elevateur</v>
      </c>
      <c r="D1037" s="94" t="str">
        <f>IF(ISNA(VLOOKUP(Tableau13[[#This Row],[Code]],'Code Véhicule'!$A$4:$C$185,3,0)),"",VLOOKUP(Tableau13[[#This Row],[Code]],'Code Véhicule'!$A$4:$C$185,3,0))</f>
        <v>Fenwick  H40</v>
      </c>
      <c r="E1037" s="92" t="str">
        <f>IF(ISNA(VLOOKUP(Tableau13[[#This Row],[Code]],'Code Véhicule'!$A$4:$D$185,4,0))," ",VLOOKUP(Tableau13[[#This Row],[Code]],'Code Véhicule'!$A$4:$D$185,4,0))</f>
        <v>-</v>
      </c>
      <c r="F1037" s="92"/>
      <c r="G1037" s="38" t="s">
        <v>393</v>
      </c>
      <c r="H1037" s="38" t="s">
        <v>608</v>
      </c>
      <c r="I1037" s="36" t="s">
        <v>2106</v>
      </c>
      <c r="J1037" s="39" t="s">
        <v>2107</v>
      </c>
      <c r="K1037" s="92"/>
      <c r="L1037" s="96">
        <v>120</v>
      </c>
      <c r="M1037" s="96">
        <v>120</v>
      </c>
      <c r="N1037" s="97">
        <v>44987</v>
      </c>
      <c r="O1037" s="98"/>
      <c r="P1037" s="98"/>
      <c r="Q1037" s="177" t="e">
        <f>MONTH([1]!Tableau13[[#This Row],[Date début]])</f>
        <v>#REF!</v>
      </c>
      <c r="R1037" s="181" t="e">
        <f>YEAR([1]!Tableau13[[#This Row],[Date début]])</f>
        <v>#REF!</v>
      </c>
      <c r="S1037" s="44"/>
      <c r="T1037" s="44"/>
    </row>
    <row r="1038" spans="1:20" s="75" customFormat="1" ht="45">
      <c r="A1038" s="91">
        <v>44987</v>
      </c>
      <c r="B1038" s="36" t="s">
        <v>1199</v>
      </c>
      <c r="C1038" s="93" t="str">
        <f>IF(ISNA(VLOOKUP(Tableau13[[#This Row],[Code]],'Code Véhicule'!$A$4:$C$185,2,0)),"",VLOOKUP(Tableau13[[#This Row],[Code]],'Code Véhicule'!$A$4:$C$185,2,0))</f>
        <v>Chargeur</v>
      </c>
      <c r="D1038" s="94" t="str">
        <f>IF(ISNA(VLOOKUP(Tableau13[[#This Row],[Code]],'Code Véhicule'!$A$4:$C$185,3,0)),"",VLOOKUP(Tableau13[[#This Row],[Code]],'Code Véhicule'!$A$4:$C$185,3,0))</f>
        <v>Caterpillar</v>
      </c>
      <c r="E1038" s="92" t="str">
        <f>IF(ISNA(VLOOKUP(Tableau13[[#This Row],[Code]],'Code Véhicule'!$A$4:$D$185,4,0))," ",VLOOKUP(Tableau13[[#This Row],[Code]],'Code Véhicule'!$A$4:$D$185,4,0))</f>
        <v>-</v>
      </c>
      <c r="F1038" s="92"/>
      <c r="G1038" s="38" t="s">
        <v>2097</v>
      </c>
      <c r="H1038" s="38" t="s">
        <v>2118</v>
      </c>
      <c r="I1038" s="36" t="s">
        <v>322</v>
      </c>
      <c r="J1038" s="39" t="s">
        <v>2119</v>
      </c>
      <c r="K1038" s="92"/>
      <c r="L1038" s="96">
        <f>15*570</f>
        <v>8550</v>
      </c>
      <c r="M1038" s="96">
        <f>16*570</f>
        <v>9120</v>
      </c>
      <c r="N1038" s="97">
        <v>45005</v>
      </c>
      <c r="O1038" s="98"/>
      <c r="P1038" s="98"/>
      <c r="Q1038" s="177" t="e">
        <f>MONTH([1]!Tableau13[[#This Row],[Date début]])</f>
        <v>#REF!</v>
      </c>
      <c r="R1038" s="181" t="e">
        <f>YEAR([1]!Tableau13[[#This Row],[Date début]])</f>
        <v>#REF!</v>
      </c>
      <c r="S1038" s="44"/>
      <c r="T1038" s="44"/>
    </row>
    <row r="1039" spans="1:20" s="75" customFormat="1" ht="23.25">
      <c r="A1039" s="91">
        <v>44988</v>
      </c>
      <c r="B1039" s="92">
        <v>429</v>
      </c>
      <c r="C1039" s="93" t="str">
        <f>IF(ISNA(VLOOKUP(Tableau13[[#This Row],[Code]],'Code Véhicule'!$A$4:$C$185,2,0)),"",VLOOKUP(Tableau13[[#This Row],[Code]],'Code Véhicule'!$A$4:$C$185,2,0))</f>
        <v>Chariot elevateur</v>
      </c>
      <c r="D1039" s="94" t="str">
        <f>IF(ISNA(VLOOKUP(Tableau13[[#This Row],[Code]],'Code Véhicule'!$A$4:$C$185,3,0)),"",VLOOKUP(Tableau13[[#This Row],[Code]],'Code Véhicule'!$A$4:$C$185,3,0))</f>
        <v>Fenwick HD30</v>
      </c>
      <c r="E1039" s="92" t="str">
        <f>IF(ISNA(VLOOKUP(Tableau13[[#This Row],[Code]],'Code Véhicule'!$A$4:$D$185,4,0))," ",VLOOKUP(Tableau13[[#This Row],[Code]],'Code Véhicule'!$A$4:$D$185,4,0))</f>
        <v>-</v>
      </c>
      <c r="F1039" s="36"/>
      <c r="G1039" s="38" t="s">
        <v>1840</v>
      </c>
      <c r="H1039" s="38" t="s">
        <v>2108</v>
      </c>
      <c r="I1039" s="36" t="s">
        <v>322</v>
      </c>
      <c r="J1039" s="39" t="s">
        <v>2109</v>
      </c>
      <c r="K1039" s="92"/>
      <c r="L1039" s="96">
        <f>570*3</f>
        <v>1710</v>
      </c>
      <c r="M1039" s="96">
        <v>1710</v>
      </c>
      <c r="N1039" s="97">
        <v>44994</v>
      </c>
      <c r="O1039" s="98"/>
      <c r="P1039" s="98"/>
      <c r="Q1039" s="177" t="e">
        <f>MONTH([1]!Tableau13[[#This Row],[Date début]])</f>
        <v>#REF!</v>
      </c>
      <c r="R1039" s="181" t="e">
        <f>YEAR([1]!Tableau13[[#This Row],[Date début]])</f>
        <v>#REF!</v>
      </c>
      <c r="S1039" s="44"/>
      <c r="T1039" s="44"/>
    </row>
    <row r="1040" spans="1:20" s="75" customFormat="1" ht="30">
      <c r="A1040" s="91">
        <v>44988</v>
      </c>
      <c r="B1040" s="92">
        <v>427</v>
      </c>
      <c r="C1040" s="93" t="str">
        <f>IF(ISNA(VLOOKUP(Tableau13[[#This Row],[Code]],'Code Véhicule'!$A$4:$C$185,2,0)),"",VLOOKUP(Tableau13[[#This Row],[Code]],'Code Véhicule'!$A$4:$C$185,2,0))</f>
        <v>Chariot elevateur</v>
      </c>
      <c r="D1040" s="94" t="str">
        <f>IF(ISNA(VLOOKUP(Tableau13[[#This Row],[Code]],'Code Véhicule'!$A$4:$C$185,3,0)),"",VLOOKUP(Tableau13[[#This Row],[Code]],'Code Véhicule'!$A$4:$C$185,3,0))</f>
        <v>Linde H30</v>
      </c>
      <c r="E1040" s="92" t="str">
        <f>IF(ISNA(VLOOKUP(Tableau13[[#This Row],[Code]],'Code Véhicule'!$A$4:$D$185,4,0))," ",VLOOKUP(Tableau13[[#This Row],[Code]],'Code Véhicule'!$A$4:$D$185,4,0))</f>
        <v>-</v>
      </c>
      <c r="F1040" s="92"/>
      <c r="G1040" s="38" t="s">
        <v>511</v>
      </c>
      <c r="H1040" s="38" t="s">
        <v>1791</v>
      </c>
      <c r="I1040" s="36" t="s">
        <v>322</v>
      </c>
      <c r="J1040" s="39" t="s">
        <v>2110</v>
      </c>
      <c r="K1040" s="92"/>
      <c r="L1040" s="96">
        <v>1140</v>
      </c>
      <c r="M1040" s="96">
        <v>1140</v>
      </c>
      <c r="N1040" s="97">
        <v>44991</v>
      </c>
      <c r="O1040" s="98"/>
      <c r="P1040" s="98"/>
      <c r="Q1040" s="177" t="e">
        <f>MONTH([1]!Tableau13[[#This Row],[Date début]])</f>
        <v>#REF!</v>
      </c>
      <c r="R1040" s="181" t="e">
        <f>YEAR([1]!Tableau13[[#This Row],[Date début]])</f>
        <v>#REF!</v>
      </c>
      <c r="S1040" s="44"/>
      <c r="T1040" s="44"/>
    </row>
    <row r="1041" spans="1:20" s="75" customFormat="1" ht="45">
      <c r="A1041" s="91">
        <v>44989</v>
      </c>
      <c r="B1041" s="92"/>
      <c r="C1041" s="37" t="s">
        <v>2114</v>
      </c>
      <c r="D1041" s="94" t="str">
        <f>IF(ISNA(VLOOKUP(Tableau13[[#This Row],[Code]],'Code Véhicule'!$A$4:$C$185,3,0)),"",VLOOKUP(Tableau13[[#This Row],[Code]],'Code Véhicule'!$A$4:$C$185,3,0))</f>
        <v/>
      </c>
      <c r="E1041" s="92" t="str">
        <f>IF(ISNA(VLOOKUP(Tableau13[[#This Row],[Code]],'Code Véhicule'!$A$4:$D$185,4,0))," ",VLOOKUP(Tableau13[[#This Row],[Code]],'Code Véhicule'!$A$4:$D$185,4,0))</f>
        <v xml:space="preserve"> </v>
      </c>
      <c r="F1041" s="92"/>
      <c r="G1041" s="38" t="s">
        <v>610</v>
      </c>
      <c r="H1041" s="38" t="s">
        <v>955</v>
      </c>
      <c r="I1041" s="36" t="s">
        <v>322</v>
      </c>
      <c r="J1041" s="39" t="s">
        <v>2115</v>
      </c>
      <c r="K1041" s="92"/>
      <c r="L1041" s="96">
        <f>570*4</f>
        <v>2280</v>
      </c>
      <c r="M1041" s="96">
        <f>570*10</f>
        <v>5700</v>
      </c>
      <c r="N1041" s="97">
        <v>45000</v>
      </c>
      <c r="O1041" s="98"/>
      <c r="P1041" s="98"/>
      <c r="Q1041" s="177" t="e">
        <f>MONTH([1]!Tableau13[[#This Row],[Date début]])</f>
        <v>#REF!</v>
      </c>
      <c r="R1041" s="181" t="e">
        <f>YEAR([1]!Tableau13[[#This Row],[Date début]])</f>
        <v>#REF!</v>
      </c>
      <c r="S1041" s="44"/>
      <c r="T1041" s="44"/>
    </row>
    <row r="1042" spans="1:20" s="75" customFormat="1" ht="23.25">
      <c r="A1042" s="35">
        <v>44991</v>
      </c>
      <c r="B1042" s="92">
        <v>439</v>
      </c>
      <c r="C1042" s="93" t="str">
        <f>IF(ISNA(VLOOKUP(Tableau13[[#This Row],[Code]],'Code Véhicule'!$A$4:$C$185,2,0)),"",VLOOKUP(Tableau13[[#This Row],[Code]],'Code Véhicule'!$A$4:$C$185,2,0))</f>
        <v>Semi remorque</v>
      </c>
      <c r="D1042" s="94" t="str">
        <f>IF(ISNA(VLOOKUP(Tableau13[[#This Row],[Code]],'Code Véhicule'!$A$4:$C$185,3,0)),"",VLOOKUP(Tableau13[[#This Row],[Code]],'Code Véhicule'!$A$4:$C$185,3,0))</f>
        <v>VOLVO</v>
      </c>
      <c r="E1042" s="92" t="str">
        <f>IF(ISNA(VLOOKUP(Tableau13[[#This Row],[Code]],'Code Véhicule'!$A$4:$D$185,4,0))," ",VLOOKUP(Tableau13[[#This Row],[Code]],'Code Véhicule'!$A$4:$D$185,4,0))</f>
        <v xml:space="preserve">17886-A-73 </v>
      </c>
      <c r="F1042" s="92"/>
      <c r="G1042" s="38" t="s">
        <v>560</v>
      </c>
      <c r="H1042" s="38" t="s">
        <v>604</v>
      </c>
      <c r="I1042" s="36" t="s">
        <v>322</v>
      </c>
      <c r="J1042" s="39" t="s">
        <v>530</v>
      </c>
      <c r="K1042" s="92"/>
      <c r="L1042" s="96">
        <v>120</v>
      </c>
      <c r="M1042" s="96">
        <v>120</v>
      </c>
      <c r="N1042" s="97">
        <v>44991</v>
      </c>
      <c r="O1042" s="98"/>
      <c r="P1042" s="98"/>
      <c r="Q1042" s="177" t="e">
        <f>MONTH([1]!Tableau13[[#This Row],[Date début]])</f>
        <v>#REF!</v>
      </c>
      <c r="R1042" s="181" t="e">
        <f>YEAR([1]!Tableau13[[#This Row],[Date début]])</f>
        <v>#REF!</v>
      </c>
      <c r="S1042" s="44"/>
      <c r="T1042" s="44"/>
    </row>
    <row r="1043" spans="1:20" s="75" customFormat="1" ht="30">
      <c r="A1043" s="91">
        <v>44991</v>
      </c>
      <c r="B1043" s="92"/>
      <c r="C1043" s="37" t="s">
        <v>2111</v>
      </c>
      <c r="D1043" s="94" t="str">
        <f>IF(ISNA(VLOOKUP(Tableau13[[#This Row],[Code]],'Code Véhicule'!$A$4:$C$185,3,0)),"",VLOOKUP(Tableau13[[#This Row],[Code]],'Code Véhicule'!$A$4:$C$185,3,0))</f>
        <v/>
      </c>
      <c r="E1043" s="92" t="str">
        <f>IF(ISNA(VLOOKUP(Tableau13[[#This Row],[Code]],'Code Véhicule'!$A$4:$D$185,4,0))," ",VLOOKUP(Tableau13[[#This Row],[Code]],'Code Véhicule'!$A$4:$D$185,4,0))</f>
        <v xml:space="preserve"> </v>
      </c>
      <c r="F1043" s="92"/>
      <c r="G1043" s="38" t="s">
        <v>493</v>
      </c>
      <c r="H1043" s="38" t="s">
        <v>2112</v>
      </c>
      <c r="I1043" s="36" t="s">
        <v>322</v>
      </c>
      <c r="J1043" s="39" t="s">
        <v>2113</v>
      </c>
      <c r="K1043" s="92"/>
      <c r="L1043" s="96">
        <v>1140</v>
      </c>
      <c r="M1043" s="96">
        <v>1140</v>
      </c>
      <c r="N1043" s="97">
        <v>44993</v>
      </c>
      <c r="O1043" s="98"/>
      <c r="P1043" s="98"/>
      <c r="Q1043" s="177" t="e">
        <f>MONTH([1]!Tableau13[[#This Row],[Date début]])</f>
        <v>#REF!</v>
      </c>
      <c r="R1043" s="181" t="e">
        <f>YEAR([1]!Tableau13[[#This Row],[Date début]])</f>
        <v>#REF!</v>
      </c>
      <c r="S1043" s="44"/>
      <c r="T1043" s="44"/>
    </row>
    <row r="1044" spans="1:20" s="75" customFormat="1" ht="23.25">
      <c r="A1044" s="91">
        <v>44996</v>
      </c>
      <c r="B1044" s="92">
        <v>436</v>
      </c>
      <c r="C1044" s="93" t="str">
        <f>IF(ISNA(VLOOKUP(Tableau13[[#This Row],[Code]],'Code Véhicule'!$A$4:$C$185,2,0)),"",VLOOKUP(Tableau13[[#This Row],[Code]],'Code Véhicule'!$A$4:$C$185,2,0))</f>
        <v>Camion</v>
      </c>
      <c r="D1044" s="94" t="str">
        <f>IF(ISNA(VLOOKUP(Tableau13[[#This Row],[Code]],'Code Véhicule'!$A$4:$C$185,3,0)),"",VLOOKUP(Tableau13[[#This Row],[Code]],'Code Véhicule'!$A$4:$C$185,3,0))</f>
        <v>Mitsubishi</v>
      </c>
      <c r="E1044" s="92" t="str">
        <f>IF(ISNA(VLOOKUP(Tableau13[[#This Row],[Code]],'Code Véhicule'!$A$4:$D$185,4,0))," ",VLOOKUP(Tableau13[[#This Row],[Code]],'Code Véhicule'!$A$4:$D$185,4,0))</f>
        <v>11470-A-73</v>
      </c>
      <c r="F1044" s="36"/>
      <c r="G1044" s="38" t="s">
        <v>334</v>
      </c>
      <c r="H1044" s="38" t="s">
        <v>2116</v>
      </c>
      <c r="I1044" s="36" t="s">
        <v>322</v>
      </c>
      <c r="J1044" s="39" t="s">
        <v>2117</v>
      </c>
      <c r="K1044" s="92"/>
      <c r="L1044" s="96">
        <v>570</v>
      </c>
      <c r="M1044" s="96">
        <v>570</v>
      </c>
      <c r="N1044" s="97">
        <v>44996</v>
      </c>
      <c r="O1044" s="98"/>
      <c r="P1044" s="98"/>
      <c r="Q1044" s="177" t="e">
        <f>MONTH([1]!Tableau13[[#This Row],[Date début]])</f>
        <v>#REF!</v>
      </c>
      <c r="R1044" s="181" t="e">
        <f>YEAR([1]!Tableau13[[#This Row],[Date début]])</f>
        <v>#REF!</v>
      </c>
      <c r="S1044" s="44"/>
      <c r="T1044" s="44"/>
    </row>
    <row r="1045" spans="1:20" s="75" customFormat="1" ht="23.25">
      <c r="A1045" s="91">
        <v>45000</v>
      </c>
      <c r="B1045" s="92">
        <v>472</v>
      </c>
      <c r="C1045" s="93" t="str">
        <f>IF(ISNA(VLOOKUP(Tableau13[[#This Row],[Code]],'Code Véhicule'!$A$4:$C$185,2,0)),"",VLOOKUP(Tableau13[[#This Row],[Code]],'Code Véhicule'!$A$4:$C$185,2,0))</f>
        <v>Chariot elevateur</v>
      </c>
      <c r="D1045" s="94" t="str">
        <f>IF(ISNA(VLOOKUP(Tableau13[[#This Row],[Code]],'Code Véhicule'!$A$4:$C$185,3,0)),"",VLOOKUP(Tableau13[[#This Row],[Code]],'Code Véhicule'!$A$4:$C$185,3,0))</f>
        <v>Linde H25d</v>
      </c>
      <c r="E1045" s="92" t="str">
        <f>IF(ISNA(VLOOKUP(Tableau13[[#This Row],[Code]],'Code Véhicule'!$A$4:$D$185,4,0))," ",VLOOKUP(Tableau13[[#This Row],[Code]],'Code Véhicule'!$A$4:$D$185,4,0))</f>
        <v>-</v>
      </c>
      <c r="F1045" s="92"/>
      <c r="G1045" s="38" t="s">
        <v>843</v>
      </c>
      <c r="H1045" s="38" t="s">
        <v>2122</v>
      </c>
      <c r="I1045" s="36" t="s">
        <v>322</v>
      </c>
      <c r="J1045" s="39" t="s">
        <v>2123</v>
      </c>
      <c r="K1045" s="92"/>
      <c r="L1045" s="96">
        <f>570*2</f>
        <v>1140</v>
      </c>
      <c r="M1045" s="96">
        <v>1140</v>
      </c>
      <c r="N1045" s="41">
        <v>45003</v>
      </c>
      <c r="O1045" s="98"/>
      <c r="P1045" s="98"/>
      <c r="Q1045" s="177" t="e">
        <f>MONTH([1]!Tableau13[[#This Row],[Date début]])</f>
        <v>#REF!</v>
      </c>
      <c r="R1045" s="181" t="e">
        <f>YEAR([1]!Tableau13[[#This Row],[Date début]])</f>
        <v>#REF!</v>
      </c>
      <c r="S1045" s="44"/>
      <c r="T1045" s="44"/>
    </row>
    <row r="1046" spans="1:20" s="75" customFormat="1" ht="23.25">
      <c r="A1046" s="91">
        <v>45003</v>
      </c>
      <c r="B1046" s="92">
        <v>407</v>
      </c>
      <c r="C1046" s="93" t="str">
        <f>IF(ISNA(VLOOKUP(Tableau13[[#This Row],[Code]],'Code Véhicule'!$A$4:$C$185,2,0)),"",VLOOKUP(Tableau13[[#This Row],[Code]],'Code Véhicule'!$A$4:$C$185,2,0))</f>
        <v>Semi remorque</v>
      </c>
      <c r="D1046" s="94" t="str">
        <f>IF(ISNA(VLOOKUP(Tableau13[[#This Row],[Code]],'Code Véhicule'!$A$4:$C$185,3,0)),"",VLOOKUP(Tableau13[[#This Row],[Code]],'Code Véhicule'!$A$4:$C$185,3,0))</f>
        <v>MAN</v>
      </c>
      <c r="E1046" s="92" t="str">
        <f>IF(ISNA(VLOOKUP(Tableau13[[#This Row],[Code]],'Code Véhicule'!$A$4:$D$185,4,0))," ",VLOOKUP(Tableau13[[#This Row],[Code]],'Code Véhicule'!$A$4:$D$185,4,0))</f>
        <v>706-A-73</v>
      </c>
      <c r="F1046" s="92"/>
      <c r="G1046" s="38" t="s">
        <v>610</v>
      </c>
      <c r="H1046" s="38" t="s">
        <v>2120</v>
      </c>
      <c r="I1046" s="36" t="s">
        <v>322</v>
      </c>
      <c r="J1046" s="39" t="s">
        <v>2121</v>
      </c>
      <c r="K1046" s="92"/>
      <c r="L1046" s="96">
        <v>180</v>
      </c>
      <c r="M1046" s="96">
        <v>180</v>
      </c>
      <c r="N1046" s="97">
        <v>45003</v>
      </c>
      <c r="O1046" s="98"/>
      <c r="P1046" s="98"/>
      <c r="Q1046" s="177" t="e">
        <f>MONTH([1]!Tableau13[[#This Row],[Date début]])</f>
        <v>#REF!</v>
      </c>
      <c r="R1046" s="181" t="e">
        <f>YEAR([1]!Tableau13[[#This Row],[Date début]])</f>
        <v>#REF!</v>
      </c>
      <c r="S1046" s="44"/>
      <c r="T1046" s="44"/>
    </row>
    <row r="1047" spans="1:20" s="75" customFormat="1" ht="30">
      <c r="A1047" s="91">
        <v>45004</v>
      </c>
      <c r="B1047" s="92">
        <v>411</v>
      </c>
      <c r="C1047" s="93" t="str">
        <f>IF(ISNA(VLOOKUP(Tableau13[[#This Row],[Code]],'Code Véhicule'!$A$4:$C$185,2,0)),"",VLOOKUP(Tableau13[[#This Row],[Code]],'Code Véhicule'!$A$4:$C$185,2,0))</f>
        <v>Camion</v>
      </c>
      <c r="D1047" s="94" t="str">
        <f>IF(ISNA(VLOOKUP(Tableau13[[#This Row],[Code]],'Code Véhicule'!$A$4:$C$185,3,0)),"",VLOOKUP(Tableau13[[#This Row],[Code]],'Code Véhicule'!$A$4:$C$185,3,0))</f>
        <v>Renault</v>
      </c>
      <c r="E1047" s="92" t="str">
        <f>IF(ISNA(VLOOKUP(Tableau13[[#This Row],[Code]],'Code Véhicule'!$A$4:$D$185,4,0))," ",VLOOKUP(Tableau13[[#This Row],[Code]],'Code Véhicule'!$A$4:$D$185,4,0))</f>
        <v>25636-A-13</v>
      </c>
      <c r="F1047" s="92"/>
      <c r="G1047" s="38" t="s">
        <v>2084</v>
      </c>
      <c r="H1047" s="38" t="s">
        <v>2124</v>
      </c>
      <c r="I1047" s="36" t="s">
        <v>322</v>
      </c>
      <c r="J1047" s="39" t="s">
        <v>2125</v>
      </c>
      <c r="K1047" s="92"/>
      <c r="L1047" s="96">
        <v>240</v>
      </c>
      <c r="M1047" s="96">
        <v>240</v>
      </c>
      <c r="N1047" s="97">
        <v>45004</v>
      </c>
      <c r="O1047" s="98"/>
      <c r="P1047" s="98"/>
      <c r="Q1047" s="177" t="e">
        <f>MONTH([1]!Tableau13[[#This Row],[Date début]])</f>
        <v>#REF!</v>
      </c>
      <c r="R1047" s="181" t="e">
        <f>YEAR([1]!Tableau13[[#This Row],[Date début]])</f>
        <v>#REF!</v>
      </c>
      <c r="S1047" s="44"/>
      <c r="T1047" s="44"/>
    </row>
    <row r="1048" spans="1:20" s="75" customFormat="1" ht="30">
      <c r="A1048" s="91">
        <v>45006</v>
      </c>
      <c r="B1048" s="92">
        <v>410</v>
      </c>
      <c r="C1048" s="93" t="str">
        <f>IF(ISNA(VLOOKUP(Tableau13[[#This Row],[Code]],'Code Véhicule'!$A$4:$C$185,2,0)),"",VLOOKUP(Tableau13[[#This Row],[Code]],'Code Véhicule'!$A$4:$C$185,2,0))</f>
        <v>Semi remorque</v>
      </c>
      <c r="D1048" s="94" t="str">
        <f>IF(ISNA(VLOOKUP(Tableau13[[#This Row],[Code]],'Code Véhicule'!$A$4:$C$185,3,0)),"",VLOOKUP(Tableau13[[#This Row],[Code]],'Code Véhicule'!$A$4:$C$185,3,0))</f>
        <v>MAN</v>
      </c>
      <c r="E1048" s="92" t="str">
        <f>IF(ISNA(VLOOKUP(Tableau13[[#This Row],[Code]],'Code Véhicule'!$A$4:$D$185,4,0))," ",VLOOKUP(Tableau13[[#This Row],[Code]],'Code Véhicule'!$A$4:$D$185,4,0))</f>
        <v xml:space="preserve">28659-D-1 </v>
      </c>
      <c r="F1048" s="92"/>
      <c r="G1048" s="38" t="s">
        <v>393</v>
      </c>
      <c r="H1048" s="38" t="s">
        <v>608</v>
      </c>
      <c r="I1048" s="36" t="s">
        <v>504</v>
      </c>
      <c r="J1048" s="39" t="s">
        <v>2126</v>
      </c>
      <c r="K1048" s="92"/>
      <c r="L1048" s="96">
        <v>120</v>
      </c>
      <c r="M1048" s="96">
        <v>120</v>
      </c>
      <c r="N1048" s="97">
        <v>45006</v>
      </c>
      <c r="O1048" s="98"/>
      <c r="P1048" s="98"/>
      <c r="Q1048" s="177" t="e">
        <f>MONTH([1]!Tableau13[[#This Row],[Date début]])</f>
        <v>#REF!</v>
      </c>
      <c r="R1048" s="181" t="e">
        <f>YEAR([1]!Tableau13[[#This Row],[Date début]])</f>
        <v>#REF!</v>
      </c>
      <c r="S1048" s="44"/>
      <c r="T1048" s="44"/>
    </row>
    <row r="1049" spans="1:20" s="75" customFormat="1" ht="23.25">
      <c r="A1049" s="91">
        <v>45007</v>
      </c>
      <c r="B1049" s="92">
        <v>438</v>
      </c>
      <c r="C1049" s="93" t="str">
        <f>IF(ISNA(VLOOKUP(Tableau13[[#This Row],[Code]],'Code Véhicule'!$A$4:$C$185,2,0)),"",VLOOKUP(Tableau13[[#This Row],[Code]],'Code Véhicule'!$A$4:$C$185,2,0))</f>
        <v>Semi remorque</v>
      </c>
      <c r="D1049" s="94" t="str">
        <f>IF(ISNA(VLOOKUP(Tableau13[[#This Row],[Code]],'Code Véhicule'!$A$4:$C$185,3,0)),"",VLOOKUP(Tableau13[[#This Row],[Code]],'Code Véhicule'!$A$4:$C$185,3,0))</f>
        <v>VOLVO</v>
      </c>
      <c r="E1049" s="92" t="str">
        <f>IF(ISNA(VLOOKUP(Tableau13[[#This Row],[Code]],'Code Véhicule'!$A$4:$D$185,4,0))," ",VLOOKUP(Tableau13[[#This Row],[Code]],'Code Véhicule'!$A$4:$D$185,4,0))</f>
        <v xml:space="preserve">17885-A-73 </v>
      </c>
      <c r="F1049" s="92"/>
      <c r="G1049" s="38" t="s">
        <v>560</v>
      </c>
      <c r="H1049" s="38" t="s">
        <v>604</v>
      </c>
      <c r="I1049" s="36" t="s">
        <v>304</v>
      </c>
      <c r="J1049" s="39" t="s">
        <v>1870</v>
      </c>
      <c r="K1049" s="92"/>
      <c r="L1049" s="96">
        <v>180</v>
      </c>
      <c r="M1049" s="96">
        <v>180</v>
      </c>
      <c r="N1049" s="97">
        <v>45007</v>
      </c>
      <c r="O1049" s="98"/>
      <c r="P1049" s="98"/>
      <c r="Q1049" s="177" t="e">
        <f>MONTH([1]!Tableau13[[#This Row],[Date début]])</f>
        <v>#REF!</v>
      </c>
      <c r="R1049" s="181" t="e">
        <f>YEAR([1]!Tableau13[[#This Row],[Date début]])</f>
        <v>#REF!</v>
      </c>
      <c r="S1049" s="44"/>
      <c r="T1049" s="44"/>
    </row>
    <row r="1050" spans="1:20" s="75" customFormat="1" ht="23.25">
      <c r="A1050" s="91">
        <v>45007</v>
      </c>
      <c r="B1050" s="92">
        <v>407</v>
      </c>
      <c r="C1050" s="93" t="str">
        <f>IF(ISNA(VLOOKUP(Tableau13[[#This Row],[Code]],'Code Véhicule'!$A$4:$C$185,2,0)),"",VLOOKUP(Tableau13[[#This Row],[Code]],'Code Véhicule'!$A$4:$C$185,2,0))</f>
        <v>Semi remorque</v>
      </c>
      <c r="D1050" s="94" t="str">
        <f>IF(ISNA(VLOOKUP(Tableau13[[#This Row],[Code]],'Code Véhicule'!$A$4:$C$185,3,0)),"",VLOOKUP(Tableau13[[#This Row],[Code]],'Code Véhicule'!$A$4:$C$185,3,0))</f>
        <v>MAN</v>
      </c>
      <c r="E1050" s="92" t="str">
        <f>IF(ISNA(VLOOKUP(Tableau13[[#This Row],[Code]],'Code Véhicule'!$A$4:$D$185,4,0))," ",VLOOKUP(Tableau13[[#This Row],[Code]],'Code Véhicule'!$A$4:$D$185,4,0))</f>
        <v>706-A-73</v>
      </c>
      <c r="F1050" s="92"/>
      <c r="G1050" s="38" t="s">
        <v>2127</v>
      </c>
      <c r="H1050" s="38" t="s">
        <v>2128</v>
      </c>
      <c r="I1050" s="36" t="s">
        <v>304</v>
      </c>
      <c r="J1050" s="39" t="s">
        <v>2129</v>
      </c>
      <c r="K1050" s="92"/>
      <c r="L1050" s="96">
        <v>360</v>
      </c>
      <c r="M1050" s="96">
        <v>360</v>
      </c>
      <c r="N1050" s="97">
        <v>45008</v>
      </c>
      <c r="O1050" s="98"/>
      <c r="P1050" s="98"/>
      <c r="Q1050" s="177" t="e">
        <f>MONTH([1]!Tableau13[[#This Row],[Date début]])</f>
        <v>#REF!</v>
      </c>
      <c r="R1050" s="181" t="e">
        <f>YEAR([1]!Tableau13[[#This Row],[Date début]])</f>
        <v>#REF!</v>
      </c>
      <c r="S1050" s="44"/>
      <c r="T1050" s="44"/>
    </row>
    <row r="1051" spans="1:20" s="75" customFormat="1" ht="30">
      <c r="A1051" s="91">
        <v>45008</v>
      </c>
      <c r="B1051" s="92">
        <v>435</v>
      </c>
      <c r="C1051" s="93" t="str">
        <f>IF(ISNA(VLOOKUP(Tableau13[[#This Row],[Code]],'Code Véhicule'!$A$4:$C$185,2,0)),"",VLOOKUP(Tableau13[[#This Row],[Code]],'Code Véhicule'!$A$4:$C$185,2,0))</f>
        <v>Camion</v>
      </c>
      <c r="D1051" s="94" t="str">
        <f>IF(ISNA(VLOOKUP(Tableau13[[#This Row],[Code]],'Code Véhicule'!$A$4:$C$185,3,0)),"",VLOOKUP(Tableau13[[#This Row],[Code]],'Code Véhicule'!$A$4:$C$185,3,0))</f>
        <v>Mitsubishi</v>
      </c>
      <c r="E1051" s="92" t="str">
        <f>IF(ISNA(VLOOKUP(Tableau13[[#This Row],[Code]],'Code Véhicule'!$A$4:$D$185,4,0))," ",VLOOKUP(Tableau13[[#This Row],[Code]],'Code Véhicule'!$A$4:$D$185,4,0))</f>
        <v xml:space="preserve"> 11469-A-73</v>
      </c>
      <c r="F1051" s="92"/>
      <c r="G1051" s="38" t="s">
        <v>393</v>
      </c>
      <c r="H1051" s="38" t="s">
        <v>608</v>
      </c>
      <c r="I1051" s="36" t="s">
        <v>302</v>
      </c>
      <c r="J1051" s="39" t="s">
        <v>2130</v>
      </c>
      <c r="K1051" s="92"/>
      <c r="L1051" s="96">
        <v>120</v>
      </c>
      <c r="M1051" s="96">
        <v>120</v>
      </c>
      <c r="N1051" s="97">
        <v>45008</v>
      </c>
      <c r="O1051" s="98"/>
      <c r="P1051" s="98"/>
      <c r="Q1051" s="177" t="e">
        <f>MONTH([1]!Tableau13[[#This Row],[Date début]])</f>
        <v>#REF!</v>
      </c>
      <c r="R1051" s="181" t="e">
        <f>YEAR([1]!Tableau13[[#This Row],[Date début]])</f>
        <v>#REF!</v>
      </c>
      <c r="S1051" s="44"/>
      <c r="T1051" s="44"/>
    </row>
    <row r="1052" spans="1:20" s="75" customFormat="1" ht="45">
      <c r="A1052" s="91">
        <v>45010</v>
      </c>
      <c r="B1052" s="92">
        <v>481</v>
      </c>
      <c r="C1052" s="93" t="str">
        <f>IF(ISNA(VLOOKUP(Tableau13[[#This Row],[Code]],'Code Véhicule'!$A$4:$C$185,2,0)),"",VLOOKUP(Tableau13[[#This Row],[Code]],'Code Véhicule'!$A$4:$C$185,2,0))</f>
        <v>Camion</v>
      </c>
      <c r="D1052" s="94" t="str">
        <f>IF(ISNA(VLOOKUP(Tableau13[[#This Row],[Code]],'Code Véhicule'!$A$4:$C$185,3,0)),"",VLOOKUP(Tableau13[[#This Row],[Code]],'Code Véhicule'!$A$4:$C$185,3,0))</f>
        <v>VOLVO</v>
      </c>
      <c r="E1052" s="92" t="str">
        <f>IF(ISNA(VLOOKUP(Tableau13[[#This Row],[Code]],'Code Véhicule'!$A$4:$D$185,4,0))," ",VLOOKUP(Tableau13[[#This Row],[Code]],'Code Véhicule'!$A$4:$D$185,4,0))</f>
        <v>22300-A-73</v>
      </c>
      <c r="F1052" s="92"/>
      <c r="G1052" s="38" t="s">
        <v>2084</v>
      </c>
      <c r="H1052" s="38" t="s">
        <v>2131</v>
      </c>
      <c r="I1052" s="36" t="s">
        <v>304</v>
      </c>
      <c r="J1052" s="39" t="s">
        <v>2132</v>
      </c>
      <c r="K1052" s="92"/>
      <c r="L1052" s="96">
        <f>570*2</f>
        <v>1140</v>
      </c>
      <c r="M1052" s="96">
        <v>1140</v>
      </c>
      <c r="N1052" s="97">
        <v>45013</v>
      </c>
      <c r="O1052" s="98"/>
      <c r="P1052" s="98"/>
      <c r="Q1052" s="177" t="e">
        <f>MONTH([1]!Tableau13[[#This Row],[Date début]])</f>
        <v>#REF!</v>
      </c>
      <c r="R1052" s="181" t="e">
        <f>YEAR([1]!Tableau13[[#This Row],[Date début]])</f>
        <v>#REF!</v>
      </c>
      <c r="S1052" s="44"/>
      <c r="T1052" s="44"/>
    </row>
    <row r="1053" spans="1:20" s="75" customFormat="1" ht="23.25">
      <c r="A1053" s="91">
        <v>45012</v>
      </c>
      <c r="B1053" s="92">
        <v>480</v>
      </c>
      <c r="C1053" s="93" t="str">
        <f>IF(ISNA(VLOOKUP(Tableau13[[#This Row],[Code]],'Code Véhicule'!$A$4:$C$185,2,0)),"",VLOOKUP(Tableau13[[#This Row],[Code]],'Code Véhicule'!$A$4:$C$185,2,0))</f>
        <v>Camion</v>
      </c>
      <c r="D1053" s="94" t="str">
        <f>IF(ISNA(VLOOKUP(Tableau13[[#This Row],[Code]],'Code Véhicule'!$A$4:$C$185,3,0)),"",VLOOKUP(Tableau13[[#This Row],[Code]],'Code Véhicule'!$A$4:$C$185,3,0))</f>
        <v>VOLVO</v>
      </c>
      <c r="E1053" s="92" t="str">
        <f>IF(ISNA(VLOOKUP(Tableau13[[#This Row],[Code]],'Code Véhicule'!$A$4:$D$185,4,0))," ",VLOOKUP(Tableau13[[#This Row],[Code]],'Code Véhicule'!$A$4:$D$185,4,0))</f>
        <v>22299-A-73</v>
      </c>
      <c r="F1053" s="92"/>
      <c r="G1053" s="38" t="s">
        <v>393</v>
      </c>
      <c r="H1053" s="38" t="s">
        <v>608</v>
      </c>
      <c r="I1053" s="92"/>
      <c r="J1053" s="39" t="s">
        <v>2133</v>
      </c>
      <c r="K1053" s="92"/>
      <c r="L1053" s="96">
        <v>120</v>
      </c>
      <c r="M1053" s="96">
        <v>120</v>
      </c>
      <c r="N1053" s="97">
        <v>45012</v>
      </c>
      <c r="O1053" s="98"/>
      <c r="P1053" s="98"/>
      <c r="Q1053" s="177" t="e">
        <f>MONTH([1]!Tableau13[[#This Row],[Date début]])</f>
        <v>#REF!</v>
      </c>
      <c r="R1053" s="181" t="e">
        <f>YEAR([1]!Tableau13[[#This Row],[Date début]])</f>
        <v>#REF!</v>
      </c>
      <c r="S1053" s="44"/>
      <c r="T1053" s="44"/>
    </row>
    <row r="1054" spans="1:20" s="75" customFormat="1" ht="30">
      <c r="A1054" s="91">
        <v>45014</v>
      </c>
      <c r="B1054" s="92">
        <v>434</v>
      </c>
      <c r="C1054" s="93" t="str">
        <f>IF(ISNA(VLOOKUP(Tableau13[[#This Row],[Code]],'Code Véhicule'!$A$4:$C$185,2,0)),"",VLOOKUP(Tableau13[[#This Row],[Code]],'Code Véhicule'!$A$4:$C$185,2,0))</f>
        <v>Chariot elevateur</v>
      </c>
      <c r="D1054" s="94" t="str">
        <f>IF(ISNA(VLOOKUP(Tableau13[[#This Row],[Code]],'Code Véhicule'!$A$4:$C$185,3,0)),"",VLOOKUP(Tableau13[[#This Row],[Code]],'Code Véhicule'!$A$4:$C$185,3,0))</f>
        <v>Linde H30D</v>
      </c>
      <c r="E1054" s="92" t="str">
        <f>IF(ISNA(VLOOKUP(Tableau13[[#This Row],[Code]],'Code Véhicule'!$A$4:$D$185,4,0))," ",VLOOKUP(Tableau13[[#This Row],[Code]],'Code Véhicule'!$A$4:$D$185,4,0))</f>
        <v>-</v>
      </c>
      <c r="F1054" s="92"/>
      <c r="G1054" s="38" t="s">
        <v>2084</v>
      </c>
      <c r="H1054" s="38" t="s">
        <v>2134</v>
      </c>
      <c r="I1054" s="36" t="s">
        <v>322</v>
      </c>
      <c r="J1054" s="39" t="s">
        <v>2135</v>
      </c>
      <c r="K1054" s="92"/>
      <c r="L1054" s="96">
        <f>5*60</f>
        <v>300</v>
      </c>
      <c r="M1054" s="96">
        <f>570*4</f>
        <v>2280</v>
      </c>
      <c r="N1054" s="97">
        <v>45020</v>
      </c>
      <c r="O1054" s="98"/>
      <c r="P1054" s="98"/>
      <c r="Q1054" s="177" t="e">
        <f>MONTH([1]!Tableau13[[#This Row],[Date début]])</f>
        <v>#REF!</v>
      </c>
      <c r="R1054" s="181" t="e">
        <f>YEAR([1]!Tableau13[[#This Row],[Date début]])</f>
        <v>#REF!</v>
      </c>
      <c r="S1054" s="44"/>
      <c r="T1054" s="44"/>
    </row>
    <row r="1055" spans="1:20" s="75" customFormat="1" ht="45">
      <c r="A1055" s="91">
        <v>45017</v>
      </c>
      <c r="B1055" s="92">
        <v>413</v>
      </c>
      <c r="C1055" s="93" t="str">
        <f>IF(ISNA(VLOOKUP(Tableau13[[#This Row],[Code]],'Code Véhicule'!$A$4:$C$185,2,0)),"",VLOOKUP(Tableau13[[#This Row],[Code]],'Code Véhicule'!$A$4:$C$185,2,0))</f>
        <v>Chargeur</v>
      </c>
      <c r="D1055" s="94" t="str">
        <f>IF(ISNA(VLOOKUP(Tableau13[[#This Row],[Code]],'Code Véhicule'!$A$4:$C$185,3,0)),"",VLOOKUP(Tableau13[[#This Row],[Code]],'Code Véhicule'!$A$4:$C$185,3,0))</f>
        <v>Caterpillar</v>
      </c>
      <c r="E1055" s="92" t="str">
        <f>IF(ISNA(VLOOKUP(Tableau13[[#This Row],[Code]],'Code Véhicule'!$A$4:$D$185,4,0))," ",VLOOKUP(Tableau13[[#This Row],[Code]],'Code Véhicule'!$A$4:$D$185,4,0))</f>
        <v>-</v>
      </c>
      <c r="F1055" s="92"/>
      <c r="G1055" s="38" t="s">
        <v>493</v>
      </c>
      <c r="H1055" s="38" t="s">
        <v>2140</v>
      </c>
      <c r="I1055" s="36" t="s">
        <v>304</v>
      </c>
      <c r="J1055" s="39" t="s">
        <v>2141</v>
      </c>
      <c r="K1055" s="92"/>
      <c r="L1055" s="96">
        <f>4*570</f>
        <v>2280</v>
      </c>
      <c r="M1055" s="96">
        <f>6*570</f>
        <v>3420</v>
      </c>
      <c r="N1055" s="97">
        <v>45023</v>
      </c>
      <c r="O1055" s="98"/>
      <c r="P1055" s="98"/>
      <c r="Q1055" s="177" t="e">
        <f>MONTH([1]!Tableau13[[#This Row],[Date début]])</f>
        <v>#REF!</v>
      </c>
      <c r="R1055" s="181" t="e">
        <f>YEAR([1]!Tableau13[[#This Row],[Date début]])</f>
        <v>#REF!</v>
      </c>
      <c r="S1055" s="44"/>
      <c r="T1055" s="44"/>
    </row>
    <row r="1056" spans="1:20" s="75" customFormat="1" ht="23.25">
      <c r="A1056" s="91">
        <v>45017</v>
      </c>
      <c r="B1056" s="92">
        <v>471</v>
      </c>
      <c r="C1056" s="93" t="str">
        <f>IF(ISNA(VLOOKUP(Tableau13[[#This Row],[Code]],'Code Véhicule'!$A$4:$C$185,2,0)),"",VLOOKUP(Tableau13[[#This Row],[Code]],'Code Véhicule'!$A$4:$C$185,2,0))</f>
        <v>Bus de transport</v>
      </c>
      <c r="D1056" s="94" t="str">
        <f>IF(ISNA(VLOOKUP(Tableau13[[#This Row],[Code]],'Code Véhicule'!$A$4:$C$185,3,0)),"",VLOOKUP(Tableau13[[#This Row],[Code]],'Code Véhicule'!$A$4:$C$185,3,0))</f>
        <v xml:space="preserve">Hyundai County </v>
      </c>
      <c r="E1056" s="92" t="str">
        <f>IF(ISNA(VLOOKUP(Tableau13[[#This Row],[Code]],'Code Véhicule'!$A$4:$D$185,4,0))," ",VLOOKUP(Tableau13[[#This Row],[Code]],'Code Véhicule'!$A$4:$D$185,4,0))</f>
        <v>18516-A-73</v>
      </c>
      <c r="F1056" s="92"/>
      <c r="G1056" s="38" t="s">
        <v>545</v>
      </c>
      <c r="H1056" s="38" t="s">
        <v>620</v>
      </c>
      <c r="I1056" s="92"/>
      <c r="J1056" s="39" t="s">
        <v>2145</v>
      </c>
      <c r="K1056" s="92"/>
      <c r="L1056" s="96">
        <v>1140</v>
      </c>
      <c r="M1056" s="96">
        <v>1140</v>
      </c>
      <c r="N1056" s="97">
        <v>45021</v>
      </c>
      <c r="O1056" s="98"/>
      <c r="P1056" s="98"/>
      <c r="Q1056" s="177" t="e">
        <f>MONTH([1]!Tableau13[[#This Row],[Date début]])</f>
        <v>#REF!</v>
      </c>
      <c r="R1056" s="181" t="e">
        <f>YEAR([1]!Tableau13[[#This Row],[Date début]])</f>
        <v>#REF!</v>
      </c>
      <c r="S1056" s="44"/>
      <c r="T1056" s="44"/>
    </row>
    <row r="1057" spans="1:20" s="75" customFormat="1" ht="45">
      <c r="A1057" s="91">
        <v>45018</v>
      </c>
      <c r="B1057" s="92">
        <v>471</v>
      </c>
      <c r="C1057" s="93" t="str">
        <f>IF(ISNA(VLOOKUP(Tableau13[[#This Row],[Code]],'Code Véhicule'!$A$4:$C$185,2,0)),"",VLOOKUP(Tableau13[[#This Row],[Code]],'Code Véhicule'!$A$4:$C$185,2,0))</f>
        <v>Bus de transport</v>
      </c>
      <c r="D1057" s="94" t="str">
        <f>IF(ISNA(VLOOKUP(Tableau13[[#This Row],[Code]],'Code Véhicule'!$A$4:$C$185,3,0)),"",VLOOKUP(Tableau13[[#This Row],[Code]],'Code Véhicule'!$A$4:$C$185,3,0))</f>
        <v xml:space="preserve">Hyundai County </v>
      </c>
      <c r="E1057" s="92" t="str">
        <f>IF(ISNA(VLOOKUP(Tableau13[[#This Row],[Code]],'Code Véhicule'!$A$4:$D$185,4,0))," ",VLOOKUP(Tableau13[[#This Row],[Code]],'Code Véhicule'!$A$4:$D$185,4,0))</f>
        <v>18516-A-73</v>
      </c>
      <c r="F1057" s="92"/>
      <c r="G1057" s="38" t="s">
        <v>2137</v>
      </c>
      <c r="H1057" s="38" t="s">
        <v>2138</v>
      </c>
      <c r="I1057" s="36" t="s">
        <v>304</v>
      </c>
      <c r="J1057" s="39" t="s">
        <v>2139</v>
      </c>
      <c r="K1057" s="92"/>
      <c r="L1057" s="96">
        <f>570*6</f>
        <v>3420</v>
      </c>
      <c r="M1057" s="96">
        <f>6*570</f>
        <v>3420</v>
      </c>
      <c r="N1057" s="97">
        <v>45021</v>
      </c>
      <c r="O1057" s="98"/>
      <c r="P1057" s="98"/>
      <c r="Q1057" s="177" t="e">
        <f>MONTH([1]!Tableau13[[#This Row],[Date début]])</f>
        <v>#REF!</v>
      </c>
      <c r="R1057" s="181" t="e">
        <f>YEAR([1]!Tableau13[[#This Row],[Date début]])</f>
        <v>#REF!</v>
      </c>
      <c r="S1057" s="44"/>
      <c r="T1057" s="44"/>
    </row>
    <row r="1058" spans="1:20" s="75" customFormat="1" ht="45">
      <c r="A1058" s="91">
        <v>45018</v>
      </c>
      <c r="B1058" s="36" t="s">
        <v>1244</v>
      </c>
      <c r="C1058" s="37" t="s">
        <v>429</v>
      </c>
      <c r="D1058" s="94" t="str">
        <f>IF(ISNA(VLOOKUP(Tableau13[[#This Row],[Code]],'Code Véhicule'!$A$4:$C$185,3,0)),"",VLOOKUP(Tableau13[[#This Row],[Code]],'Code Véhicule'!$A$4:$C$185,3,0))</f>
        <v/>
      </c>
      <c r="E1058" s="92" t="str">
        <f>IF(ISNA(VLOOKUP(Tableau13[[#This Row],[Code]],'Code Véhicule'!$A$4:$D$185,4,0))," ",VLOOKUP(Tableau13[[#This Row],[Code]],'Code Véhicule'!$A$4:$D$185,4,0))</f>
        <v xml:space="preserve"> </v>
      </c>
      <c r="F1058" s="92"/>
      <c r="G1058" s="38" t="s">
        <v>1146</v>
      </c>
      <c r="H1058" s="38" t="s">
        <v>1569</v>
      </c>
      <c r="I1058" s="36" t="s">
        <v>304</v>
      </c>
      <c r="J1058" s="39" t="s">
        <v>2152</v>
      </c>
      <c r="K1058" s="92"/>
      <c r="L1058" s="96"/>
      <c r="M1058" s="96"/>
      <c r="N1058" s="97"/>
      <c r="O1058" s="98"/>
      <c r="P1058" s="98"/>
      <c r="Q1058" s="177" t="e">
        <f>MONTH([1]!Tableau13[[#This Row],[Date début]])</f>
        <v>#REF!</v>
      </c>
      <c r="R1058" s="181" t="e">
        <f>YEAR([1]!Tableau13[[#This Row],[Date début]])</f>
        <v>#REF!</v>
      </c>
      <c r="S1058" s="44"/>
      <c r="T1058" s="44"/>
    </row>
    <row r="1059" spans="1:20" s="75" customFormat="1" ht="23.25">
      <c r="A1059" s="91">
        <v>45018</v>
      </c>
      <c r="B1059" s="92">
        <v>409</v>
      </c>
      <c r="C1059" s="93" t="str">
        <f>IF(ISNA(VLOOKUP(Tableau13[[#This Row],[Code]],'Code Véhicule'!$A$4:$C$185,2,0)),"",VLOOKUP(Tableau13[[#This Row],[Code]],'Code Véhicule'!$A$4:$C$185,2,0))</f>
        <v>Camion</v>
      </c>
      <c r="D1059" s="94" t="str">
        <f>IF(ISNA(VLOOKUP(Tableau13[[#This Row],[Code]],'Code Véhicule'!$A$4:$C$185,3,0)),"",VLOOKUP(Tableau13[[#This Row],[Code]],'Code Véhicule'!$A$4:$C$185,3,0))</f>
        <v>Mitsubishi</v>
      </c>
      <c r="E1059" s="92" t="str">
        <f>IF(ISNA(VLOOKUP(Tableau13[[#This Row],[Code]],'Code Véhicule'!$A$4:$D$185,4,0))," ",VLOOKUP(Tableau13[[#This Row],[Code]],'Code Véhicule'!$A$4:$D$185,4,0))</f>
        <v xml:space="preserve">4969-A-73 </v>
      </c>
      <c r="F1059" s="92"/>
      <c r="G1059" s="38" t="s">
        <v>1478</v>
      </c>
      <c r="H1059" s="38" t="s">
        <v>2163</v>
      </c>
      <c r="I1059" s="36" t="s">
        <v>304</v>
      </c>
      <c r="J1059" s="39" t="s">
        <v>2164</v>
      </c>
      <c r="K1059" s="92"/>
      <c r="L1059" s="96">
        <f>570*2</f>
        <v>1140</v>
      </c>
      <c r="M1059" s="96">
        <f>57*3</f>
        <v>171</v>
      </c>
      <c r="N1059" s="97">
        <v>45021</v>
      </c>
      <c r="O1059" s="98"/>
      <c r="P1059" s="98"/>
      <c r="Q1059" s="177" t="e">
        <f>MONTH([1]!Tableau13[[#This Row],[Date début]])</f>
        <v>#REF!</v>
      </c>
      <c r="R1059" s="181" t="e">
        <f>YEAR([1]!Tableau13[[#This Row],[Date début]])</f>
        <v>#REF!</v>
      </c>
      <c r="S1059" s="44"/>
      <c r="T1059" s="44"/>
    </row>
    <row r="1060" spans="1:20" s="75" customFormat="1" ht="23.25">
      <c r="A1060" s="150">
        <v>45019</v>
      </c>
      <c r="B1060" s="151">
        <v>438</v>
      </c>
      <c r="C1060" s="152" t="str">
        <f>IF(ISNA(VLOOKUP(Tableau13[[#This Row],[Code]],'Code Véhicule'!$A$4:$C$185,2,0)),"",VLOOKUP(Tableau13[[#This Row],[Code]],'Code Véhicule'!$A$4:$C$185,2,0))</f>
        <v>Semi remorque</v>
      </c>
      <c r="D1060" s="153" t="str">
        <f>IF(ISNA(VLOOKUP(Tableau13[[#This Row],[Code]],'Code Véhicule'!$A$4:$C$185,3,0)),"",VLOOKUP(Tableau13[[#This Row],[Code]],'Code Véhicule'!$A$4:$C$185,3,0))</f>
        <v>VOLVO</v>
      </c>
      <c r="E1060" s="151" t="str">
        <f>IF(ISNA(VLOOKUP(Tableau13[[#This Row],[Code]],'Code Véhicule'!$A$4:$D$185,4,0))," ",VLOOKUP(Tableau13[[#This Row],[Code]],'Code Véhicule'!$A$4:$D$185,4,0))</f>
        <v xml:space="preserve">17885-A-73 </v>
      </c>
      <c r="F1060" s="151"/>
      <c r="G1060" s="153" t="s">
        <v>560</v>
      </c>
      <c r="H1060" s="153" t="s">
        <v>604</v>
      </c>
      <c r="I1060" s="151" t="s">
        <v>304</v>
      </c>
      <c r="J1060" s="154" t="s">
        <v>2167</v>
      </c>
      <c r="K1060" s="151"/>
      <c r="L1060" s="155">
        <v>120</v>
      </c>
      <c r="M1060" s="155">
        <v>120</v>
      </c>
      <c r="N1060" s="156">
        <v>45019</v>
      </c>
      <c r="O1060" s="157"/>
      <c r="P1060" s="157"/>
      <c r="Q1060" s="179" t="e">
        <f>MONTH([1]!Tableau13[[#This Row],[Date début]])</f>
        <v>#REF!</v>
      </c>
      <c r="R1060" s="183" t="e">
        <f>YEAR([1]!Tableau13[[#This Row],[Date début]])</f>
        <v>#REF!</v>
      </c>
      <c r="S1060" s="44"/>
      <c r="T1060" s="44"/>
    </row>
    <row r="1061" spans="1:20" s="75" customFormat="1" ht="30">
      <c r="A1061" s="91">
        <v>45020</v>
      </c>
      <c r="B1061" s="92">
        <v>406</v>
      </c>
      <c r="C1061" s="93" t="str">
        <f>IF(ISNA(VLOOKUP(Tableau13[[#This Row],[Code]],'Code Véhicule'!$A$4:$C$185,2,0)),"",VLOOKUP(Tableau13[[#This Row],[Code]],'Code Véhicule'!$A$4:$C$185,2,0))</f>
        <v>Semi remorque</v>
      </c>
      <c r="D1061" s="94" t="str">
        <f>IF(ISNA(VLOOKUP(Tableau13[[#This Row],[Code]],'Code Véhicule'!$A$4:$C$185,3,0)),"",VLOOKUP(Tableau13[[#This Row],[Code]],'Code Véhicule'!$A$4:$C$185,3,0))</f>
        <v>VOLVO</v>
      </c>
      <c r="E1061" s="92" t="str">
        <f>IF(ISNA(VLOOKUP(Tableau13[[#This Row],[Code]],'Code Véhicule'!$A$4:$D$185,4,0))," ",VLOOKUP(Tableau13[[#This Row],[Code]],'Code Véhicule'!$A$4:$D$185,4,0))</f>
        <v>70352-A-6</v>
      </c>
      <c r="F1061" s="92"/>
      <c r="G1061" s="38" t="s">
        <v>2142</v>
      </c>
      <c r="H1061" s="38" t="s">
        <v>2143</v>
      </c>
      <c r="I1061" s="36" t="s">
        <v>304</v>
      </c>
      <c r="J1061" s="39" t="s">
        <v>2144</v>
      </c>
      <c r="K1061" s="92"/>
      <c r="L1061" s="96"/>
      <c r="M1061" s="96"/>
      <c r="N1061" s="97"/>
      <c r="O1061" s="98"/>
      <c r="P1061" s="98"/>
      <c r="Q1061" s="177" t="e">
        <f>MONTH([1]!Tableau13[[#This Row],[Date début]])</f>
        <v>#REF!</v>
      </c>
      <c r="R1061" s="181" t="e">
        <f>YEAR([1]!Tableau13[[#This Row],[Date début]])</f>
        <v>#REF!</v>
      </c>
      <c r="S1061" s="44"/>
      <c r="T1061" s="44"/>
    </row>
    <row r="1062" spans="1:20" s="75" customFormat="1" ht="23.25">
      <c r="A1062" s="91">
        <v>45020</v>
      </c>
      <c r="B1062" s="92">
        <v>406</v>
      </c>
      <c r="C1062" s="93" t="str">
        <f>IF(ISNA(VLOOKUP(Tableau13[[#This Row],[Code]],'Code Véhicule'!$A$4:$C$185,2,0)),"",VLOOKUP(Tableau13[[#This Row],[Code]],'Code Véhicule'!$A$4:$C$185,2,0))</f>
        <v>Semi remorque</v>
      </c>
      <c r="D1062" s="94" t="str">
        <f>IF(ISNA(VLOOKUP(Tableau13[[#This Row],[Code]],'Code Véhicule'!$A$4:$C$185,3,0)),"",VLOOKUP(Tableau13[[#This Row],[Code]],'Code Véhicule'!$A$4:$C$185,3,0))</f>
        <v>VOLVO</v>
      </c>
      <c r="E1062" s="92" t="str">
        <f>IF(ISNA(VLOOKUP(Tableau13[[#This Row],[Code]],'Code Véhicule'!$A$4:$D$185,4,0))," ",VLOOKUP(Tableau13[[#This Row],[Code]],'Code Véhicule'!$A$4:$D$185,4,0))</f>
        <v>70352-A-6</v>
      </c>
      <c r="F1062" s="92"/>
      <c r="G1062" s="38" t="s">
        <v>560</v>
      </c>
      <c r="H1062" s="38" t="s">
        <v>604</v>
      </c>
      <c r="I1062" s="36" t="s">
        <v>304</v>
      </c>
      <c r="J1062" s="39" t="s">
        <v>530</v>
      </c>
      <c r="K1062" s="92"/>
      <c r="L1062" s="96">
        <v>240</v>
      </c>
      <c r="M1062" s="96">
        <v>240</v>
      </c>
      <c r="N1062" s="97">
        <v>45020</v>
      </c>
      <c r="O1062" s="98"/>
      <c r="P1062" s="98"/>
      <c r="Q1062" s="177" t="e">
        <f>MONTH([1]!Tableau13[[#This Row],[Date début]])</f>
        <v>#REF!</v>
      </c>
      <c r="R1062" s="181" t="e">
        <f>YEAR([1]!Tableau13[[#This Row],[Date début]])</f>
        <v>#REF!</v>
      </c>
      <c r="S1062" s="44"/>
      <c r="T1062" s="44"/>
    </row>
    <row r="1063" spans="1:20" s="75" customFormat="1" ht="23.25">
      <c r="A1063" s="91">
        <v>45020</v>
      </c>
      <c r="B1063" s="92">
        <v>436</v>
      </c>
      <c r="C1063" s="93" t="str">
        <f>IF(ISNA(VLOOKUP(Tableau13[[#This Row],[Code]],'Code Véhicule'!$A$4:$C$185,2,0)),"",VLOOKUP(Tableau13[[#This Row],[Code]],'Code Véhicule'!$A$4:$C$185,2,0))</f>
        <v>Camion</v>
      </c>
      <c r="D1063" s="94" t="str">
        <f>IF(ISNA(VLOOKUP(Tableau13[[#This Row],[Code]],'Code Véhicule'!$A$4:$C$185,3,0)),"",VLOOKUP(Tableau13[[#This Row],[Code]],'Code Véhicule'!$A$4:$C$185,3,0))</f>
        <v>Mitsubishi</v>
      </c>
      <c r="E1063" s="92" t="str">
        <f>IF(ISNA(VLOOKUP(Tableau13[[#This Row],[Code]],'Code Véhicule'!$A$4:$D$185,4,0))," ",VLOOKUP(Tableau13[[#This Row],[Code]],'Code Véhicule'!$A$4:$D$185,4,0))</f>
        <v>11470-A-73</v>
      </c>
      <c r="F1063" s="92"/>
      <c r="G1063" s="38" t="s">
        <v>393</v>
      </c>
      <c r="H1063" s="38" t="s">
        <v>608</v>
      </c>
      <c r="I1063" s="36" t="s">
        <v>304</v>
      </c>
      <c r="J1063" s="39" t="s">
        <v>2146</v>
      </c>
      <c r="K1063" s="92"/>
      <c r="L1063" s="96">
        <v>120</v>
      </c>
      <c r="M1063" s="96">
        <v>120</v>
      </c>
      <c r="N1063" s="97">
        <v>45020</v>
      </c>
      <c r="O1063" s="98"/>
      <c r="P1063" s="98"/>
      <c r="Q1063" s="177" t="e">
        <f>MONTH([1]!Tableau13[[#This Row],[Date début]])</f>
        <v>#REF!</v>
      </c>
      <c r="R1063" s="181" t="e">
        <f>YEAR([1]!Tableau13[[#This Row],[Date début]])</f>
        <v>#REF!</v>
      </c>
      <c r="S1063" s="44"/>
      <c r="T1063" s="44"/>
    </row>
    <row r="1064" spans="1:20" s="75" customFormat="1" ht="30">
      <c r="A1064" s="91">
        <v>45022</v>
      </c>
      <c r="B1064" s="92">
        <v>407</v>
      </c>
      <c r="C1064" s="93" t="str">
        <f>IF(ISNA(VLOOKUP(Tableau13[[#This Row],[Code]],'Code Véhicule'!$A$4:$C$185,2,0)),"",VLOOKUP(Tableau13[[#This Row],[Code]],'Code Véhicule'!$A$4:$C$185,2,0))</f>
        <v>Semi remorque</v>
      </c>
      <c r="D1064" s="94" t="str">
        <f>IF(ISNA(VLOOKUP(Tableau13[[#This Row],[Code]],'Code Véhicule'!$A$4:$C$185,3,0)),"",VLOOKUP(Tableau13[[#This Row],[Code]],'Code Véhicule'!$A$4:$C$185,3,0))</f>
        <v>MAN</v>
      </c>
      <c r="E1064" s="92" t="str">
        <f>IF(ISNA(VLOOKUP(Tableau13[[#This Row],[Code]],'Code Véhicule'!$A$4:$D$185,4,0))," ",VLOOKUP(Tableau13[[#This Row],[Code]],'Code Véhicule'!$A$4:$D$185,4,0))</f>
        <v>706-A-73</v>
      </c>
      <c r="F1064" s="92"/>
      <c r="G1064" s="38" t="s">
        <v>2147</v>
      </c>
      <c r="H1064" s="38" t="s">
        <v>2148</v>
      </c>
      <c r="I1064" s="36" t="s">
        <v>304</v>
      </c>
      <c r="J1064" s="39" t="s">
        <v>2149</v>
      </c>
      <c r="K1064" s="92"/>
      <c r="L1064" s="96">
        <v>240</v>
      </c>
      <c r="M1064" s="96">
        <v>240</v>
      </c>
      <c r="N1064" s="97">
        <v>45022</v>
      </c>
      <c r="O1064" s="98"/>
      <c r="P1064" s="98"/>
      <c r="Q1064" s="177" t="e">
        <f>MONTH([1]!Tableau13[[#This Row],[Date début]])</f>
        <v>#REF!</v>
      </c>
      <c r="R1064" s="181" t="e">
        <f>YEAR([1]!Tableau13[[#This Row],[Date début]])</f>
        <v>#REF!</v>
      </c>
      <c r="S1064" s="44"/>
      <c r="T1064" s="44"/>
    </row>
    <row r="1065" spans="1:20" s="75" customFormat="1" ht="75">
      <c r="A1065" s="91">
        <v>45022</v>
      </c>
      <c r="B1065" s="92">
        <v>417</v>
      </c>
      <c r="C1065" s="93" t="str">
        <f>IF(ISNA(VLOOKUP(Tableau13[[#This Row],[Code]],'Code Véhicule'!$A$4:$C$185,2,0)),"",VLOOKUP(Tableau13[[#This Row],[Code]],'Code Véhicule'!$A$4:$C$185,2,0))</f>
        <v>Voiture de fonction</v>
      </c>
      <c r="D1065" s="94" t="str">
        <f>IF(ISNA(VLOOKUP(Tableau13[[#This Row],[Code]],'Code Véhicule'!$A$4:$C$185,3,0)),"",VLOOKUP(Tableau13[[#This Row],[Code]],'Code Véhicule'!$A$4:$C$185,3,0))</f>
        <v>Berlingo</v>
      </c>
      <c r="E1065" s="92" t="str">
        <f>IF(ISNA(VLOOKUP(Tableau13[[#This Row],[Code]],'Code Véhicule'!$A$4:$D$185,4,0))," ",VLOOKUP(Tableau13[[#This Row],[Code]],'Code Véhicule'!$A$4:$D$185,4,0))</f>
        <v>981-A-73</v>
      </c>
      <c r="F1065" s="92"/>
      <c r="G1065" s="38" t="s">
        <v>2150</v>
      </c>
      <c r="H1065" s="38" t="s">
        <v>1245</v>
      </c>
      <c r="I1065" s="36" t="s">
        <v>304</v>
      </c>
      <c r="J1065" s="39" t="s">
        <v>2151</v>
      </c>
      <c r="K1065" s="92"/>
      <c r="L1065" s="96">
        <f>570*6</f>
        <v>3420</v>
      </c>
      <c r="M1065" s="96">
        <f>570*8</f>
        <v>4560</v>
      </c>
      <c r="N1065" s="97">
        <v>45030</v>
      </c>
      <c r="O1065" s="98"/>
      <c r="P1065" s="98"/>
      <c r="Q1065" s="177" t="e">
        <f>MONTH([1]!Tableau13[[#This Row],[Date début]])</f>
        <v>#REF!</v>
      </c>
      <c r="R1065" s="181" t="e">
        <f>YEAR([1]!Tableau13[[#This Row],[Date début]])</f>
        <v>#REF!</v>
      </c>
      <c r="S1065" s="44"/>
      <c r="T1065" s="44"/>
    </row>
    <row r="1066" spans="1:20" s="75" customFormat="1" ht="30">
      <c r="A1066" s="91">
        <v>45023</v>
      </c>
      <c r="B1066" s="92">
        <v>430</v>
      </c>
      <c r="C1066" s="93" t="str">
        <f>IF(ISNA(VLOOKUP(Tableau13[[#This Row],[Code]],'Code Véhicule'!$A$4:$C$185,2,0)),"",VLOOKUP(Tableau13[[#This Row],[Code]],'Code Véhicule'!$A$4:$C$185,2,0))</f>
        <v>Chariot elevateur</v>
      </c>
      <c r="D1066" s="94" t="str">
        <f>IF(ISNA(VLOOKUP(Tableau13[[#This Row],[Code]],'Code Véhicule'!$A$4:$C$185,3,0)),"",VLOOKUP(Tableau13[[#This Row],[Code]],'Code Véhicule'!$A$4:$C$185,3,0))</f>
        <v>Fenwick  H40</v>
      </c>
      <c r="E1066" s="92" t="str">
        <f>IF(ISNA(VLOOKUP(Tableau13[[#This Row],[Code]],'Code Véhicule'!$A$4:$D$185,4,0))," ",VLOOKUP(Tableau13[[#This Row],[Code]],'Code Véhicule'!$A$4:$D$185,4,0))</f>
        <v>-</v>
      </c>
      <c r="F1066" s="92"/>
      <c r="G1066" s="38" t="s">
        <v>2147</v>
      </c>
      <c r="H1066" s="38" t="s">
        <v>2158</v>
      </c>
      <c r="I1066" s="36" t="s">
        <v>304</v>
      </c>
      <c r="J1066" s="39" t="s">
        <v>2159</v>
      </c>
      <c r="K1066" s="92"/>
      <c r="L1066" s="96">
        <f>570*3</f>
        <v>1710</v>
      </c>
      <c r="M1066" s="96">
        <f>570*6</f>
        <v>3420</v>
      </c>
      <c r="N1066" s="97">
        <v>45030</v>
      </c>
      <c r="O1066" s="98"/>
      <c r="P1066" s="98"/>
      <c r="Q1066" s="177" t="e">
        <f>MONTH([1]!Tableau13[[#This Row],[Date début]])</f>
        <v>#REF!</v>
      </c>
      <c r="R1066" s="181" t="e">
        <f>YEAR([1]!Tableau13[[#This Row],[Date début]])</f>
        <v>#REF!</v>
      </c>
      <c r="S1066" s="44"/>
      <c r="T1066" s="44"/>
    </row>
    <row r="1067" spans="1:20" s="75" customFormat="1" ht="30">
      <c r="A1067" s="150">
        <v>45028</v>
      </c>
      <c r="B1067" s="151">
        <v>413</v>
      </c>
      <c r="C1067" s="152" t="str">
        <f>IF(ISNA(VLOOKUP(Tableau13[[#This Row],[Code]],'Code Véhicule'!$A$4:$C$185,2,0)),"",VLOOKUP(Tableau13[[#This Row],[Code]],'Code Véhicule'!$A$4:$C$185,2,0))</f>
        <v>Chargeur</v>
      </c>
      <c r="D1067" s="153" t="str">
        <f>IF(ISNA(VLOOKUP(Tableau13[[#This Row],[Code]],'Code Véhicule'!$A$4:$C$185,3,0)),"",VLOOKUP(Tableau13[[#This Row],[Code]],'Code Véhicule'!$A$4:$C$185,3,0))</f>
        <v>Caterpillar</v>
      </c>
      <c r="E1067" s="151" t="str">
        <f>IF(ISNA(VLOOKUP(Tableau13[[#This Row],[Code]],'Code Véhicule'!$A$4:$D$185,4,0))," ",VLOOKUP(Tableau13[[#This Row],[Code]],'Code Véhicule'!$A$4:$D$185,4,0))</f>
        <v>-</v>
      </c>
      <c r="F1067" s="151"/>
      <c r="G1067" s="153" t="s">
        <v>493</v>
      </c>
      <c r="H1067" s="153" t="s">
        <v>2112</v>
      </c>
      <c r="I1067" s="151" t="s">
        <v>304</v>
      </c>
      <c r="J1067" s="154" t="s">
        <v>2166</v>
      </c>
      <c r="K1067" s="151"/>
      <c r="L1067" s="155">
        <v>570</v>
      </c>
      <c r="M1067" s="155">
        <v>570</v>
      </c>
      <c r="N1067" s="156">
        <v>45028</v>
      </c>
      <c r="O1067" s="157"/>
      <c r="P1067" s="157"/>
      <c r="Q1067" s="179" t="e">
        <f>MONTH([1]!Tableau13[[#This Row],[Date début]])</f>
        <v>#REF!</v>
      </c>
      <c r="R1067" s="183" t="e">
        <f>YEAR([1]!Tableau13[[#This Row],[Date début]])</f>
        <v>#REF!</v>
      </c>
      <c r="S1067" s="44"/>
      <c r="T1067" s="44"/>
    </row>
    <row r="1068" spans="1:20" s="75" customFormat="1" ht="23.25">
      <c r="A1068" s="91">
        <v>45031</v>
      </c>
      <c r="B1068" s="92">
        <v>438</v>
      </c>
      <c r="C1068" s="93" t="str">
        <f>IF(ISNA(VLOOKUP(Tableau13[[#This Row],[Code]],'Code Véhicule'!$A$4:$C$185,2,0)),"",VLOOKUP(Tableau13[[#This Row],[Code]],'Code Véhicule'!$A$4:$C$185,2,0))</f>
        <v>Semi remorque</v>
      </c>
      <c r="D1068" s="94" t="str">
        <f>IF(ISNA(VLOOKUP(Tableau13[[#This Row],[Code]],'Code Véhicule'!$A$4:$C$185,3,0)),"",VLOOKUP(Tableau13[[#This Row],[Code]],'Code Véhicule'!$A$4:$C$185,3,0))</f>
        <v>VOLVO</v>
      </c>
      <c r="E1068" s="92" t="str">
        <f>IF(ISNA(VLOOKUP(Tableau13[[#This Row],[Code]],'Code Véhicule'!$A$4:$D$185,4,0))," ",VLOOKUP(Tableau13[[#This Row],[Code]],'Code Véhicule'!$A$4:$D$185,4,0))</f>
        <v xml:space="preserve">17885-A-73 </v>
      </c>
      <c r="F1068" s="92"/>
      <c r="G1068" s="38" t="s">
        <v>327</v>
      </c>
      <c r="H1068" s="38" t="s">
        <v>1084</v>
      </c>
      <c r="I1068" s="36" t="s">
        <v>304</v>
      </c>
      <c r="J1068" s="39" t="s">
        <v>2153</v>
      </c>
      <c r="K1068" s="92"/>
      <c r="L1068" s="96">
        <v>240</v>
      </c>
      <c r="M1068" s="96">
        <v>240</v>
      </c>
      <c r="N1068" s="97">
        <v>45031</v>
      </c>
      <c r="O1068" s="98"/>
      <c r="P1068" s="98"/>
      <c r="Q1068" s="177" t="e">
        <f>MONTH([1]!Tableau13[[#This Row],[Date début]])</f>
        <v>#REF!</v>
      </c>
      <c r="R1068" s="181" t="e">
        <f>YEAR([1]!Tableau13[[#This Row],[Date début]])</f>
        <v>#REF!</v>
      </c>
      <c r="S1068" s="44"/>
      <c r="T1068" s="44"/>
    </row>
    <row r="1069" spans="1:20" s="75" customFormat="1" ht="23.25">
      <c r="A1069" s="91">
        <v>45031</v>
      </c>
      <c r="B1069" s="92">
        <v>435</v>
      </c>
      <c r="C1069" s="93" t="str">
        <f>IF(ISNA(VLOOKUP(Tableau13[[#This Row],[Code]],'Code Véhicule'!$A$4:$C$185,2,0)),"",VLOOKUP(Tableau13[[#This Row],[Code]],'Code Véhicule'!$A$4:$C$185,2,0))</f>
        <v>Camion</v>
      </c>
      <c r="D1069" s="94" t="str">
        <f>IF(ISNA(VLOOKUP(Tableau13[[#This Row],[Code]],'Code Véhicule'!$A$4:$C$185,3,0)),"",VLOOKUP(Tableau13[[#This Row],[Code]],'Code Véhicule'!$A$4:$C$185,3,0))</f>
        <v>Mitsubishi</v>
      </c>
      <c r="E1069" s="92" t="str">
        <f>IF(ISNA(VLOOKUP(Tableau13[[#This Row],[Code]],'Code Véhicule'!$A$4:$D$185,4,0))," ",VLOOKUP(Tableau13[[#This Row],[Code]],'Code Véhicule'!$A$4:$D$185,4,0))</f>
        <v xml:space="preserve"> 11469-A-73</v>
      </c>
      <c r="F1069" s="92"/>
      <c r="G1069" s="38" t="s">
        <v>327</v>
      </c>
      <c r="H1069" s="38" t="s">
        <v>1084</v>
      </c>
      <c r="I1069" s="36" t="s">
        <v>304</v>
      </c>
      <c r="J1069" s="39" t="s">
        <v>2153</v>
      </c>
      <c r="K1069" s="92"/>
      <c r="L1069" s="96">
        <v>240</v>
      </c>
      <c r="M1069" s="96">
        <v>240</v>
      </c>
      <c r="N1069" s="97">
        <v>45031</v>
      </c>
      <c r="O1069" s="98"/>
      <c r="P1069" s="98"/>
      <c r="Q1069" s="177" t="e">
        <f>MONTH([1]!Tableau13[[#This Row],[Date début]])</f>
        <v>#REF!</v>
      </c>
      <c r="R1069" s="181" t="e">
        <f>YEAR([1]!Tableau13[[#This Row],[Date début]])</f>
        <v>#REF!</v>
      </c>
      <c r="S1069" s="44"/>
      <c r="T1069" s="44"/>
    </row>
    <row r="1070" spans="1:20" s="75" customFormat="1" ht="23.25">
      <c r="A1070" s="91">
        <v>45034</v>
      </c>
      <c r="B1070" s="92">
        <v>481</v>
      </c>
      <c r="C1070" s="93" t="str">
        <f>IF(ISNA(VLOOKUP(Tableau13[[#This Row],[Code]],'Code Véhicule'!$A$4:$C$185,2,0)),"",VLOOKUP(Tableau13[[#This Row],[Code]],'Code Véhicule'!$A$4:$C$185,2,0))</f>
        <v>Camion</v>
      </c>
      <c r="D1070" s="94" t="str">
        <f>IF(ISNA(VLOOKUP(Tableau13[[#This Row],[Code]],'Code Véhicule'!$A$4:$C$185,3,0)),"",VLOOKUP(Tableau13[[#This Row],[Code]],'Code Véhicule'!$A$4:$C$185,3,0))</f>
        <v>VOLVO</v>
      </c>
      <c r="E1070" s="92" t="str">
        <f>IF(ISNA(VLOOKUP(Tableau13[[#This Row],[Code]],'Code Véhicule'!$A$4:$D$185,4,0))," ",VLOOKUP(Tableau13[[#This Row],[Code]],'Code Véhicule'!$A$4:$D$185,4,0))</f>
        <v>22300-A-73</v>
      </c>
      <c r="F1070" s="92"/>
      <c r="G1070" s="38" t="s">
        <v>545</v>
      </c>
      <c r="H1070" s="38" t="s">
        <v>787</v>
      </c>
      <c r="I1070" s="36" t="s">
        <v>322</v>
      </c>
      <c r="J1070" s="39" t="s">
        <v>2154</v>
      </c>
      <c r="K1070" s="92"/>
      <c r="L1070" s="96">
        <v>120</v>
      </c>
      <c r="M1070" s="96">
        <v>120</v>
      </c>
      <c r="N1070" s="97">
        <v>45034</v>
      </c>
      <c r="O1070" s="98"/>
      <c r="P1070" s="98"/>
      <c r="Q1070" s="177" t="e">
        <f>MONTH([1]!Tableau13[[#This Row],[Date début]])</f>
        <v>#REF!</v>
      </c>
      <c r="R1070" s="181" t="e">
        <f>YEAR([1]!Tableau13[[#This Row],[Date début]])</f>
        <v>#REF!</v>
      </c>
      <c r="S1070" s="44"/>
      <c r="T1070" s="44"/>
    </row>
    <row r="1071" spans="1:20" s="75" customFormat="1" ht="30">
      <c r="A1071" s="91">
        <v>45034</v>
      </c>
      <c r="B1071" s="92">
        <v>403</v>
      </c>
      <c r="C1071" s="93" t="str">
        <f>IF(ISNA(VLOOKUP(Tableau13[[#This Row],[Code]],'Code Véhicule'!$A$4:$C$185,2,0)),"",VLOOKUP(Tableau13[[#This Row],[Code]],'Code Véhicule'!$A$4:$C$185,2,0))</f>
        <v>Camion</v>
      </c>
      <c r="D1071" s="94" t="str">
        <f>IF(ISNA(VLOOKUP(Tableau13[[#This Row],[Code]],'Code Véhicule'!$A$4:$C$185,3,0)),"",VLOOKUP(Tableau13[[#This Row],[Code]],'Code Véhicule'!$A$4:$C$185,3,0))</f>
        <v>MAN</v>
      </c>
      <c r="E1071" s="92" t="str">
        <f>IF(ISNA(VLOOKUP(Tableau13[[#This Row],[Code]],'Code Véhicule'!$A$4:$D$185,4,0))," ",VLOOKUP(Tableau13[[#This Row],[Code]],'Code Véhicule'!$A$4:$D$185,4,0))</f>
        <v>4790-B-8</v>
      </c>
      <c r="F1071" s="92"/>
      <c r="G1071" s="38" t="s">
        <v>2155</v>
      </c>
      <c r="H1071" s="38" t="s">
        <v>2156</v>
      </c>
      <c r="I1071" s="36" t="s">
        <v>304</v>
      </c>
      <c r="J1071" s="39" t="s">
        <v>2157</v>
      </c>
      <c r="K1071" s="92"/>
      <c r="L1071" s="96">
        <v>240</v>
      </c>
      <c r="M1071" s="96">
        <v>240</v>
      </c>
      <c r="N1071" s="97">
        <v>45034</v>
      </c>
      <c r="O1071" s="98"/>
      <c r="P1071" s="98"/>
      <c r="Q1071" s="177" t="e">
        <f>MONTH([1]!Tableau13[[#This Row],[Date début]])</f>
        <v>#REF!</v>
      </c>
      <c r="R1071" s="181" t="e">
        <f>YEAR([1]!Tableau13[[#This Row],[Date début]])</f>
        <v>#REF!</v>
      </c>
      <c r="S1071" s="44"/>
      <c r="T1071" s="44"/>
    </row>
    <row r="1072" spans="1:20" s="75" customFormat="1" ht="30">
      <c r="A1072" s="91">
        <v>45041</v>
      </c>
      <c r="B1072" s="92">
        <v>480</v>
      </c>
      <c r="C1072" s="93" t="str">
        <f>IF(ISNA(VLOOKUP(Tableau13[[#This Row],[Code]],'Code Véhicule'!$A$4:$C$185,2,0)),"",VLOOKUP(Tableau13[[#This Row],[Code]],'Code Véhicule'!$A$4:$C$185,2,0))</f>
        <v>Camion</v>
      </c>
      <c r="D1072" s="94" t="str">
        <f>IF(ISNA(VLOOKUP(Tableau13[[#This Row],[Code]],'Code Véhicule'!$A$4:$C$185,3,0)),"",VLOOKUP(Tableau13[[#This Row],[Code]],'Code Véhicule'!$A$4:$C$185,3,0))</f>
        <v>VOLVO</v>
      </c>
      <c r="E1072" s="92" t="str">
        <f>IF(ISNA(VLOOKUP(Tableau13[[#This Row],[Code]],'Code Véhicule'!$A$4:$D$185,4,0))," ",VLOOKUP(Tableau13[[#This Row],[Code]],'Code Véhicule'!$A$4:$D$185,4,0))</f>
        <v>22299-A-73</v>
      </c>
      <c r="F1072" s="92"/>
      <c r="G1072" s="38" t="s">
        <v>493</v>
      </c>
      <c r="H1072" s="38" t="s">
        <v>2160</v>
      </c>
      <c r="I1072" s="36" t="s">
        <v>322</v>
      </c>
      <c r="J1072" s="39" t="s">
        <v>2161</v>
      </c>
      <c r="K1072" s="92"/>
      <c r="L1072" s="96">
        <f>570*2</f>
        <v>1140</v>
      </c>
      <c r="M1072" s="96">
        <f>570*5</f>
        <v>2850</v>
      </c>
      <c r="N1072" s="97">
        <v>45046</v>
      </c>
      <c r="O1072" s="98"/>
      <c r="P1072" s="98"/>
      <c r="Q1072" s="177" t="e">
        <f>MONTH([1]!Tableau13[[#This Row],[Date début]])</f>
        <v>#REF!</v>
      </c>
      <c r="R1072" s="181" t="e">
        <f>YEAR([1]!Tableau13[[#This Row],[Date début]])</f>
        <v>#REF!</v>
      </c>
      <c r="S1072" s="44"/>
      <c r="T1072" s="44"/>
    </row>
    <row r="1073" spans="1:20" s="75" customFormat="1" ht="45">
      <c r="A1073" s="91">
        <v>45042</v>
      </c>
      <c r="B1073" s="92">
        <v>410</v>
      </c>
      <c r="C1073" s="93" t="str">
        <f>IF(ISNA(VLOOKUP(Tableau13[[#This Row],[Code]],'Code Véhicule'!$A$4:$C$185,2,0)),"",VLOOKUP(Tableau13[[#This Row],[Code]],'Code Véhicule'!$A$4:$C$185,2,0))</f>
        <v>Semi remorque</v>
      </c>
      <c r="D1073" s="94" t="str">
        <f>IF(ISNA(VLOOKUP(Tableau13[[#This Row],[Code]],'Code Véhicule'!$A$4:$C$185,3,0)),"",VLOOKUP(Tableau13[[#This Row],[Code]],'Code Véhicule'!$A$4:$C$185,3,0))</f>
        <v>MAN</v>
      </c>
      <c r="E1073" s="92" t="str">
        <f>IF(ISNA(VLOOKUP(Tableau13[[#This Row],[Code]],'Code Véhicule'!$A$4:$D$185,4,0))," ",VLOOKUP(Tableau13[[#This Row],[Code]],'Code Véhicule'!$A$4:$D$185,4,0))</f>
        <v xml:space="preserve">28659-D-1 </v>
      </c>
      <c r="F1073" s="92"/>
      <c r="G1073" s="38" t="s">
        <v>1013</v>
      </c>
      <c r="H1073" s="38" t="s">
        <v>625</v>
      </c>
      <c r="I1073" s="36" t="s">
        <v>304</v>
      </c>
      <c r="J1073" s="39" t="s">
        <v>2162</v>
      </c>
      <c r="K1073" s="92"/>
      <c r="L1073" s="96">
        <v>570</v>
      </c>
      <c r="M1073" s="96">
        <v>1140</v>
      </c>
      <c r="N1073" s="97">
        <v>45044</v>
      </c>
      <c r="O1073" s="98"/>
      <c r="P1073" s="98"/>
      <c r="Q1073" s="177" t="e">
        <f>MONTH([1]!Tableau13[[#This Row],[Date début]])</f>
        <v>#REF!</v>
      </c>
      <c r="R1073" s="181" t="e">
        <f>YEAR([1]!Tableau13[[#This Row],[Date début]])</f>
        <v>#REF!</v>
      </c>
      <c r="S1073" s="44"/>
      <c r="T1073" s="44"/>
    </row>
    <row r="1074" spans="1:20" s="75" customFormat="1" ht="23.25">
      <c r="A1074" s="91">
        <v>45045</v>
      </c>
      <c r="B1074" s="92">
        <v>439</v>
      </c>
      <c r="C1074" s="93" t="str">
        <f>IF(ISNA(VLOOKUP(Tableau13[[#This Row],[Code]],'Code Véhicule'!$A$4:$C$185,2,0)),"",VLOOKUP(Tableau13[[#This Row],[Code]],'Code Véhicule'!$A$4:$C$185,2,0))</f>
        <v>Semi remorque</v>
      </c>
      <c r="D1074" s="94" t="str">
        <f>IF(ISNA(VLOOKUP(Tableau13[[#This Row],[Code]],'Code Véhicule'!$A$4:$C$185,3,0)),"",VLOOKUP(Tableau13[[#This Row],[Code]],'Code Véhicule'!$A$4:$C$185,3,0))</f>
        <v>VOLVO</v>
      </c>
      <c r="E1074" s="92" t="str">
        <f>IF(ISNA(VLOOKUP(Tableau13[[#This Row],[Code]],'Code Véhicule'!$A$4:$D$185,4,0))," ",VLOOKUP(Tableau13[[#This Row],[Code]],'Code Véhicule'!$A$4:$D$185,4,0))</f>
        <v xml:space="preserve">17886-A-73 </v>
      </c>
      <c r="F1074" s="92"/>
      <c r="G1074" s="38" t="s">
        <v>560</v>
      </c>
      <c r="H1074" s="38" t="s">
        <v>604</v>
      </c>
      <c r="I1074" s="36" t="s">
        <v>304</v>
      </c>
      <c r="J1074" s="39" t="s">
        <v>2165</v>
      </c>
      <c r="K1074" s="92"/>
      <c r="L1074" s="96">
        <v>120</v>
      </c>
      <c r="M1074" s="96">
        <v>120</v>
      </c>
      <c r="N1074" s="97">
        <v>45045</v>
      </c>
      <c r="O1074" s="98"/>
      <c r="P1074" s="98"/>
      <c r="Q1074" s="177" t="e">
        <f>MONTH([1]!Tableau13[[#This Row],[Date début]])</f>
        <v>#REF!</v>
      </c>
      <c r="R1074" s="181" t="e">
        <f>YEAR([1]!Tableau13[[#This Row],[Date début]])</f>
        <v>#REF!</v>
      </c>
      <c r="S1074" s="44"/>
      <c r="T1074" s="44"/>
    </row>
    <row r="1075" spans="1:20" s="75" customFormat="1" ht="60">
      <c r="A1075" s="150">
        <v>45047</v>
      </c>
      <c r="B1075" s="151">
        <v>427</v>
      </c>
      <c r="C1075" s="152" t="str">
        <f>IF(ISNA(VLOOKUP(Tableau13[[#This Row],[Code]],'Code Véhicule'!$A$4:$C$185,2,0)),"",VLOOKUP(Tableau13[[#This Row],[Code]],'Code Véhicule'!$A$4:$C$185,2,0))</f>
        <v>Chariot elevateur</v>
      </c>
      <c r="D1075" s="153" t="str">
        <f>IF(ISNA(VLOOKUP(Tableau13[[#This Row],[Code]],'Code Véhicule'!$A$4:$C$185,3,0)),"",VLOOKUP(Tableau13[[#This Row],[Code]],'Code Véhicule'!$A$4:$C$185,3,0))</f>
        <v>Linde H30</v>
      </c>
      <c r="E1075" s="151" t="str">
        <f>IF(ISNA(VLOOKUP(Tableau13[[#This Row],[Code]],'Code Véhicule'!$A$4:$D$185,4,0))," ",VLOOKUP(Tableau13[[#This Row],[Code]],'Code Véhicule'!$A$4:$D$185,4,0))</f>
        <v>-</v>
      </c>
      <c r="F1075" s="151"/>
      <c r="G1075" s="153" t="s">
        <v>2097</v>
      </c>
      <c r="H1075" s="153" t="s">
        <v>2215</v>
      </c>
      <c r="I1075" s="151" t="s">
        <v>322</v>
      </c>
      <c r="J1075" s="154" t="s">
        <v>2216</v>
      </c>
      <c r="K1075" s="151"/>
      <c r="L1075" s="155">
        <f>570*26</f>
        <v>14820</v>
      </c>
      <c r="M1075" s="155">
        <v>14820</v>
      </c>
      <c r="N1075" s="156">
        <v>46178</v>
      </c>
      <c r="O1075" s="157"/>
      <c r="P1075" s="157"/>
      <c r="Q1075" s="179" t="e">
        <f>MONTH([1]!Tableau13[[#This Row],[Date début]])</f>
        <v>#REF!</v>
      </c>
      <c r="R1075" s="183" t="e">
        <f>YEAR([1]!Tableau13[[#This Row],[Date début]])</f>
        <v>#REF!</v>
      </c>
      <c r="S1075" s="44"/>
      <c r="T1075" s="44"/>
    </row>
    <row r="1076" spans="1:20" s="75" customFormat="1" ht="23.25">
      <c r="A1076" s="91">
        <v>45048</v>
      </c>
      <c r="B1076" s="92">
        <v>479</v>
      </c>
      <c r="C1076" s="93" t="str">
        <f>IF(ISNA(VLOOKUP(Tableau13[[#This Row],[Code]],'Code Véhicule'!$A$4:$C$185,2,0)),"",VLOOKUP(Tableau13[[#This Row],[Code]],'Code Véhicule'!$A$4:$C$185,2,0))</f>
        <v>Bus de transport</v>
      </c>
      <c r="D1076" s="94" t="str">
        <f>IF(ISNA(VLOOKUP(Tableau13[[#This Row],[Code]],'Code Véhicule'!$A$4:$C$185,3,0)),"",VLOOKUP(Tableau13[[#This Row],[Code]],'Code Véhicule'!$A$4:$C$185,3,0))</f>
        <v>Hyundai County</v>
      </c>
      <c r="E1076" s="92" t="str">
        <f>IF(ISNA(VLOOKUP(Tableau13[[#This Row],[Code]],'Code Véhicule'!$A$4:$D$185,4,0))," ",VLOOKUP(Tableau13[[#This Row],[Code]],'Code Véhicule'!$A$4:$D$185,4,0))</f>
        <v>22772-A-73</v>
      </c>
      <c r="F1076" s="92"/>
      <c r="G1076" s="38" t="s">
        <v>393</v>
      </c>
      <c r="H1076" s="38" t="s">
        <v>608</v>
      </c>
      <c r="I1076" s="36" t="s">
        <v>304</v>
      </c>
      <c r="J1076" s="39" t="s">
        <v>801</v>
      </c>
      <c r="K1076" s="92"/>
      <c r="L1076" s="96">
        <v>120</v>
      </c>
      <c r="M1076" s="96">
        <v>120</v>
      </c>
      <c r="N1076" s="97">
        <v>45048</v>
      </c>
      <c r="O1076" s="98"/>
      <c r="P1076" s="98"/>
      <c r="Q1076" s="177" t="e">
        <f>MONTH([1]!Tableau13[[#This Row],[Date début]])</f>
        <v>#REF!</v>
      </c>
      <c r="R1076" s="181" t="e">
        <f>YEAR([1]!Tableau13[[#This Row],[Date début]])</f>
        <v>#REF!</v>
      </c>
      <c r="S1076" s="44"/>
      <c r="T1076" s="44"/>
    </row>
    <row r="1077" spans="1:20" s="75" customFormat="1" ht="45">
      <c r="A1077" s="150">
        <v>45048</v>
      </c>
      <c r="B1077" s="151">
        <v>479</v>
      </c>
      <c r="C1077" s="152" t="str">
        <f>IF(ISNA(VLOOKUP(Tableau13[[#This Row],[Code]],'Code Véhicule'!$A$4:$C$185,2,0)),"",VLOOKUP(Tableau13[[#This Row],[Code]],'Code Véhicule'!$A$4:$C$185,2,0))</f>
        <v>Bus de transport</v>
      </c>
      <c r="D1077" s="153" t="str">
        <f>IF(ISNA(VLOOKUP(Tableau13[[#This Row],[Code]],'Code Véhicule'!$A$4:$C$185,3,0)),"",VLOOKUP(Tableau13[[#This Row],[Code]],'Code Véhicule'!$A$4:$C$185,3,0))</f>
        <v>Hyundai County</v>
      </c>
      <c r="E1077" s="151" t="str">
        <f>IF(ISNA(VLOOKUP(Tableau13[[#This Row],[Code]],'Code Véhicule'!$A$4:$D$185,4,0))," ",VLOOKUP(Tableau13[[#This Row],[Code]],'Code Véhicule'!$A$4:$D$185,4,0))</f>
        <v>22772-A-73</v>
      </c>
      <c r="F1077" s="151"/>
      <c r="G1077" s="153" t="s">
        <v>393</v>
      </c>
      <c r="H1077" s="153" t="s">
        <v>608</v>
      </c>
      <c r="I1077" s="151" t="s">
        <v>304</v>
      </c>
      <c r="J1077" s="154" t="s">
        <v>2180</v>
      </c>
      <c r="K1077" s="151"/>
      <c r="L1077" s="155">
        <v>120</v>
      </c>
      <c r="M1077" s="155">
        <v>120</v>
      </c>
      <c r="N1077" s="156">
        <v>45048</v>
      </c>
      <c r="O1077" s="157"/>
      <c r="P1077" s="157"/>
      <c r="Q1077" s="179" t="e">
        <f>MONTH([1]!Tableau13[[#This Row],[Date début]])</f>
        <v>#REF!</v>
      </c>
      <c r="R1077" s="183" t="e">
        <f>YEAR([1]!Tableau13[[#This Row],[Date début]])</f>
        <v>#REF!</v>
      </c>
      <c r="S1077" s="44"/>
      <c r="T1077" s="44"/>
    </row>
    <row r="1078" spans="1:20" s="75" customFormat="1" ht="30">
      <c r="A1078" s="150">
        <v>45049</v>
      </c>
      <c r="B1078" s="151">
        <v>482</v>
      </c>
      <c r="C1078" s="152" t="str">
        <f>IF(ISNA(VLOOKUP(Tableau13[[#This Row],[Code]],'Code Véhicule'!$A$4:$C$185,2,0)),"",VLOOKUP(Tableau13[[#This Row],[Code]],'Code Véhicule'!$A$4:$C$185,2,0))</f>
        <v>Pick up</v>
      </c>
      <c r="D1078" s="153" t="str">
        <f>IF(ISNA(VLOOKUP(Tableau13[[#This Row],[Code]],'Code Véhicule'!$A$4:$C$185,3,0)),"",VLOOKUP(Tableau13[[#This Row],[Code]],'Code Véhicule'!$A$4:$C$185,3,0))</f>
        <v>HYUNDAI H100</v>
      </c>
      <c r="E1078" s="151" t="str">
        <f>IF(ISNA(VLOOKUP(Tableau13[[#This Row],[Code]],'Code Véhicule'!$A$4:$D$185,4,0))," ",VLOOKUP(Tableau13[[#This Row],[Code]],'Code Véhicule'!$A$4:$D$185,4,0))</f>
        <v>22368-A-73</v>
      </c>
      <c r="F1078" s="151"/>
      <c r="G1078" s="153" t="s">
        <v>545</v>
      </c>
      <c r="H1078" s="153" t="s">
        <v>2182</v>
      </c>
      <c r="I1078" s="151" t="s">
        <v>304</v>
      </c>
      <c r="J1078" s="154" t="s">
        <v>2206</v>
      </c>
      <c r="K1078" s="151"/>
      <c r="L1078" s="155">
        <v>570</v>
      </c>
      <c r="M1078" s="155">
        <v>570</v>
      </c>
      <c r="N1078" s="156">
        <v>45049</v>
      </c>
      <c r="O1078" s="157"/>
      <c r="P1078" s="157"/>
      <c r="Q1078" s="179" t="e">
        <f>MONTH([1]!Tableau13[[#This Row],[Date début]])</f>
        <v>#REF!</v>
      </c>
      <c r="R1078" s="183" t="e">
        <f>YEAR([1]!Tableau13[[#This Row],[Date début]])</f>
        <v>#REF!</v>
      </c>
      <c r="S1078" s="44"/>
      <c r="T1078" s="44"/>
    </row>
    <row r="1079" spans="1:20" s="75" customFormat="1" ht="23.25">
      <c r="A1079" s="150">
        <v>45049</v>
      </c>
      <c r="B1079" s="151">
        <v>471</v>
      </c>
      <c r="C1079" s="152" t="str">
        <f>IF(ISNA(VLOOKUP(Tableau13[[#This Row],[Code]],'Code Véhicule'!$A$4:$C$185,2,0)),"",VLOOKUP(Tableau13[[#This Row],[Code]],'Code Véhicule'!$A$4:$C$185,2,0))</f>
        <v>Bus de transport</v>
      </c>
      <c r="D1079" s="153" t="str">
        <f>IF(ISNA(VLOOKUP(Tableau13[[#This Row],[Code]],'Code Véhicule'!$A$4:$C$185,3,0)),"",VLOOKUP(Tableau13[[#This Row],[Code]],'Code Véhicule'!$A$4:$C$185,3,0))</f>
        <v xml:space="preserve">Hyundai County </v>
      </c>
      <c r="E1079" s="151" t="str">
        <f>IF(ISNA(VLOOKUP(Tableau13[[#This Row],[Code]],'Code Véhicule'!$A$4:$D$185,4,0))," ",VLOOKUP(Tableau13[[#This Row],[Code]],'Code Véhicule'!$A$4:$D$185,4,0))</f>
        <v>18516-A-73</v>
      </c>
      <c r="F1079" s="151"/>
      <c r="G1079" s="153" t="s">
        <v>545</v>
      </c>
      <c r="H1079" s="153" t="s">
        <v>620</v>
      </c>
      <c r="I1079" s="151" t="s">
        <v>304</v>
      </c>
      <c r="J1079" s="154" t="s">
        <v>2181</v>
      </c>
      <c r="K1079" s="151"/>
      <c r="L1079" s="155">
        <v>570</v>
      </c>
      <c r="M1079" s="155">
        <v>570</v>
      </c>
      <c r="N1079" s="156">
        <v>45050</v>
      </c>
      <c r="O1079" s="157"/>
      <c r="P1079" s="157"/>
      <c r="Q1079" s="179" t="e">
        <f>MONTH([1]!Tableau13[[#This Row],[Date début]])</f>
        <v>#REF!</v>
      </c>
      <c r="R1079" s="183" t="e">
        <f>YEAR([1]!Tableau13[[#This Row],[Date début]])</f>
        <v>#REF!</v>
      </c>
      <c r="S1079" s="44"/>
      <c r="T1079" s="44"/>
    </row>
    <row r="1080" spans="1:20" s="75" customFormat="1" ht="30">
      <c r="A1080" s="150">
        <v>45050</v>
      </c>
      <c r="B1080" s="151">
        <v>401</v>
      </c>
      <c r="C1080" s="152" t="str">
        <f>IF(ISNA(VLOOKUP(Tableau13[[#This Row],[Code]],'Code Véhicule'!$A$4:$C$185,2,0)),"",VLOOKUP(Tableau13[[#This Row],[Code]],'Code Véhicule'!$A$4:$C$185,2,0))</f>
        <v>Camion</v>
      </c>
      <c r="D1080" s="153" t="str">
        <f>IF(ISNA(VLOOKUP(Tableau13[[#This Row],[Code]],'Code Véhicule'!$A$4:$C$185,3,0)),"",VLOOKUP(Tableau13[[#This Row],[Code]],'Code Véhicule'!$A$4:$C$185,3,0))</f>
        <v>ISUZU</v>
      </c>
      <c r="E1080" s="151" t="str">
        <f>IF(ISNA(VLOOKUP(Tableau13[[#This Row],[Code]],'Code Véhicule'!$A$4:$D$185,4,0))," ",VLOOKUP(Tableau13[[#This Row],[Code]],'Code Véhicule'!$A$4:$D$185,4,0))</f>
        <v>26128-A-8</v>
      </c>
      <c r="F1080" s="151"/>
      <c r="G1080" s="153" t="s">
        <v>2142</v>
      </c>
      <c r="H1080" s="153" t="s">
        <v>2183</v>
      </c>
      <c r="I1080" s="151" t="s">
        <v>304</v>
      </c>
      <c r="J1080" s="154" t="s">
        <v>2184</v>
      </c>
      <c r="K1080" s="151"/>
      <c r="L1080" s="155">
        <v>570</v>
      </c>
      <c r="M1080" s="155">
        <v>570</v>
      </c>
      <c r="N1080" s="156">
        <v>45050</v>
      </c>
      <c r="O1080" s="157"/>
      <c r="P1080" s="157"/>
      <c r="Q1080" s="179" t="e">
        <f>MONTH([1]!Tableau13[[#This Row],[Date début]])</f>
        <v>#REF!</v>
      </c>
      <c r="R1080" s="183" t="e">
        <f>YEAR([1]!Tableau13[[#This Row],[Date début]])</f>
        <v>#REF!</v>
      </c>
      <c r="S1080" s="44"/>
      <c r="T1080" s="44"/>
    </row>
    <row r="1081" spans="1:20" s="75" customFormat="1" ht="105">
      <c r="A1081" s="150">
        <v>45050</v>
      </c>
      <c r="B1081" s="151">
        <v>429</v>
      </c>
      <c r="C1081" s="152" t="str">
        <f>IF(ISNA(VLOOKUP(Tableau13[[#This Row],[Code]],'Code Véhicule'!$A$4:$C$185,2,0)),"",VLOOKUP(Tableau13[[#This Row],[Code]],'Code Véhicule'!$A$4:$C$185,2,0))</f>
        <v>Chariot elevateur</v>
      </c>
      <c r="D1081" s="153" t="str">
        <f>IF(ISNA(VLOOKUP(Tableau13[[#This Row],[Code]],'Code Véhicule'!$A$4:$C$185,3,0)),"",VLOOKUP(Tableau13[[#This Row],[Code]],'Code Véhicule'!$A$4:$C$185,3,0))</f>
        <v>Fenwick HD30</v>
      </c>
      <c r="E1081" s="151" t="str">
        <f>IF(ISNA(VLOOKUP(Tableau13[[#This Row],[Code]],'Code Véhicule'!$A$4:$D$185,4,0))," ",VLOOKUP(Tableau13[[#This Row],[Code]],'Code Véhicule'!$A$4:$D$185,4,0))</f>
        <v>-</v>
      </c>
      <c r="F1081" s="151"/>
      <c r="G1081" s="153" t="s">
        <v>455</v>
      </c>
      <c r="H1081" s="153" t="s">
        <v>2199</v>
      </c>
      <c r="I1081" s="151" t="s">
        <v>304</v>
      </c>
      <c r="J1081" s="39" t="s">
        <v>2200</v>
      </c>
      <c r="K1081" s="151"/>
      <c r="L1081" s="155"/>
      <c r="M1081" s="155"/>
      <c r="N1081" s="156"/>
      <c r="O1081" s="157"/>
      <c r="P1081" s="157"/>
      <c r="Q1081" s="179" t="e">
        <f>MONTH([1]!Tableau13[[#This Row],[Date début]])</f>
        <v>#REF!</v>
      </c>
      <c r="R1081" s="183" t="e">
        <f>YEAR([1]!Tableau13[[#This Row],[Date début]])</f>
        <v>#REF!</v>
      </c>
      <c r="S1081" s="44"/>
      <c r="T1081" s="44"/>
    </row>
    <row r="1082" spans="1:20" s="75" customFormat="1" ht="23.25">
      <c r="A1082" s="150">
        <v>45050</v>
      </c>
      <c r="B1082" s="151">
        <v>403</v>
      </c>
      <c r="C1082" s="152" t="str">
        <f>IF(ISNA(VLOOKUP(Tableau13[[#This Row],[Code]],'Code Véhicule'!$A$4:$C$185,2,0)),"",VLOOKUP(Tableau13[[#This Row],[Code]],'Code Véhicule'!$A$4:$C$185,2,0))</f>
        <v>Camion</v>
      </c>
      <c r="D1082" s="153" t="str">
        <f>IF(ISNA(VLOOKUP(Tableau13[[#This Row],[Code]],'Code Véhicule'!$A$4:$C$185,3,0)),"",VLOOKUP(Tableau13[[#This Row],[Code]],'Code Véhicule'!$A$4:$C$185,3,0))</f>
        <v>MAN</v>
      </c>
      <c r="E1082" s="151" t="str">
        <f>IF(ISNA(VLOOKUP(Tableau13[[#This Row],[Code]],'Code Véhicule'!$A$4:$D$185,4,0))," ",VLOOKUP(Tableau13[[#This Row],[Code]],'Code Véhicule'!$A$4:$D$185,4,0))</f>
        <v>4790-B-8</v>
      </c>
      <c r="F1082" s="151"/>
      <c r="G1082" s="153" t="s">
        <v>619</v>
      </c>
      <c r="H1082" s="153" t="s">
        <v>1558</v>
      </c>
      <c r="I1082" s="151" t="s">
        <v>304</v>
      </c>
      <c r="J1082" s="154" t="s">
        <v>2185</v>
      </c>
      <c r="K1082" s="151"/>
      <c r="L1082" s="155">
        <v>120</v>
      </c>
      <c r="M1082" s="155">
        <v>120</v>
      </c>
      <c r="N1082" s="156">
        <v>45050</v>
      </c>
      <c r="O1082" s="157"/>
      <c r="P1082" s="157"/>
      <c r="Q1082" s="179" t="e">
        <f>MONTH([1]!Tableau13[[#This Row],[Date début]])</f>
        <v>#REF!</v>
      </c>
      <c r="R1082" s="183" t="e">
        <f>YEAR([1]!Tableau13[[#This Row],[Date début]])</f>
        <v>#REF!</v>
      </c>
      <c r="S1082" s="44"/>
      <c r="T1082" s="44"/>
    </row>
    <row r="1083" spans="1:20" s="75" customFormat="1" ht="23.25">
      <c r="A1083" s="150">
        <v>45050</v>
      </c>
      <c r="B1083" s="151">
        <v>438</v>
      </c>
      <c r="C1083" s="152" t="str">
        <f>IF(ISNA(VLOOKUP(Tableau13[[#This Row],[Code]],'Code Véhicule'!$A$4:$C$185,2,0)),"",VLOOKUP(Tableau13[[#This Row],[Code]],'Code Véhicule'!$A$4:$C$185,2,0))</f>
        <v>Semi remorque</v>
      </c>
      <c r="D1083" s="153" t="str">
        <f>IF(ISNA(VLOOKUP(Tableau13[[#This Row],[Code]],'Code Véhicule'!$A$4:$C$185,3,0)),"",VLOOKUP(Tableau13[[#This Row],[Code]],'Code Véhicule'!$A$4:$C$185,3,0))</f>
        <v>VOLVO</v>
      </c>
      <c r="E1083" s="151" t="str">
        <f>IF(ISNA(VLOOKUP(Tableau13[[#This Row],[Code]],'Code Véhicule'!$A$4:$D$185,4,0))," ",VLOOKUP(Tableau13[[#This Row],[Code]],'Code Véhicule'!$A$4:$D$185,4,0))</f>
        <v xml:space="preserve">17885-A-73 </v>
      </c>
      <c r="F1083" s="151"/>
      <c r="G1083" s="153" t="s">
        <v>560</v>
      </c>
      <c r="H1083" s="153" t="s">
        <v>604</v>
      </c>
      <c r="I1083" s="151" t="s">
        <v>304</v>
      </c>
      <c r="J1083" s="154" t="s">
        <v>530</v>
      </c>
      <c r="K1083" s="151"/>
      <c r="L1083" s="155">
        <v>120</v>
      </c>
      <c r="M1083" s="155">
        <v>120</v>
      </c>
      <c r="N1083" s="156">
        <v>45050</v>
      </c>
      <c r="O1083" s="157"/>
      <c r="P1083" s="157"/>
      <c r="Q1083" s="179" t="e">
        <f>MONTH([1]!Tableau13[[#This Row],[Date début]])</f>
        <v>#REF!</v>
      </c>
      <c r="R1083" s="183" t="e">
        <f>YEAR([1]!Tableau13[[#This Row],[Date début]])</f>
        <v>#REF!</v>
      </c>
      <c r="S1083" s="44"/>
      <c r="T1083" s="44"/>
    </row>
    <row r="1084" spans="1:20" s="75" customFormat="1" ht="105">
      <c r="A1084" s="150">
        <v>45050</v>
      </c>
      <c r="B1084" s="151">
        <v>431</v>
      </c>
      <c r="C1084" s="152" t="str">
        <f>IF(ISNA(VLOOKUP(Tableau13[[#This Row],[Code]],'Code Véhicule'!$A$4:$C$185,2,0)),"",VLOOKUP(Tableau13[[#This Row],[Code]],'Code Véhicule'!$A$4:$C$185,2,0))</f>
        <v>Chariot elevateur</v>
      </c>
      <c r="D1084" s="153" t="str">
        <f>IF(ISNA(VLOOKUP(Tableau13[[#This Row],[Code]],'Code Véhicule'!$A$4:$C$185,3,0)),"",VLOOKUP(Tableau13[[#This Row],[Code]],'Code Véhicule'!$A$4:$C$185,3,0))</f>
        <v>Manitou M26-2</v>
      </c>
      <c r="E1084" s="151" t="str">
        <f>IF(ISNA(VLOOKUP(Tableau13[[#This Row],[Code]],'Code Véhicule'!$A$4:$D$185,4,0))," ",VLOOKUP(Tableau13[[#This Row],[Code]],'Code Véhicule'!$A$4:$D$185,4,0))</f>
        <v>-</v>
      </c>
      <c r="F1084" s="151"/>
      <c r="G1084" s="153" t="s">
        <v>393</v>
      </c>
      <c r="H1084" s="153" t="s">
        <v>2186</v>
      </c>
      <c r="I1084" s="151" t="s">
        <v>302</v>
      </c>
      <c r="J1084" s="154" t="s">
        <v>2187</v>
      </c>
      <c r="K1084" s="151"/>
      <c r="L1084" s="155">
        <v>240</v>
      </c>
      <c r="M1084" s="155">
        <v>240</v>
      </c>
      <c r="N1084" s="156">
        <v>45050</v>
      </c>
      <c r="O1084" s="157"/>
      <c r="P1084" s="157"/>
      <c r="Q1084" s="179" t="e">
        <f>MONTH([1]!Tableau13[[#This Row],[Date début]])</f>
        <v>#REF!</v>
      </c>
      <c r="R1084" s="183" t="e">
        <f>YEAR([1]!Tableau13[[#This Row],[Date début]])</f>
        <v>#REF!</v>
      </c>
      <c r="S1084" s="44"/>
      <c r="T1084" s="44"/>
    </row>
    <row r="1085" spans="1:20" s="75" customFormat="1" ht="45">
      <c r="A1085" s="150">
        <v>45052</v>
      </c>
      <c r="B1085" s="151">
        <v>413</v>
      </c>
      <c r="C1085" s="152" t="str">
        <f>IF(ISNA(VLOOKUP(Tableau13[[#This Row],[Code]],'Code Véhicule'!$A$4:$C$185,2,0)),"",VLOOKUP(Tableau13[[#This Row],[Code]],'Code Véhicule'!$A$4:$C$185,2,0))</f>
        <v>Chargeur</v>
      </c>
      <c r="D1085" s="153" t="str">
        <f>IF(ISNA(VLOOKUP(Tableau13[[#This Row],[Code]],'Code Véhicule'!$A$4:$C$185,3,0)),"",VLOOKUP(Tableau13[[#This Row],[Code]],'Code Véhicule'!$A$4:$C$185,3,0))</f>
        <v>Caterpillar</v>
      </c>
      <c r="E1085" s="151" t="str">
        <f>IF(ISNA(VLOOKUP(Tableau13[[#This Row],[Code]],'Code Véhicule'!$A$4:$D$185,4,0))," ",VLOOKUP(Tableau13[[#This Row],[Code]],'Code Véhicule'!$A$4:$D$185,4,0))</f>
        <v>-</v>
      </c>
      <c r="F1085" s="151"/>
      <c r="G1085" s="153" t="s">
        <v>1478</v>
      </c>
      <c r="H1085" s="153" t="s">
        <v>2174</v>
      </c>
      <c r="I1085" s="151" t="s">
        <v>304</v>
      </c>
      <c r="J1085" s="154" t="s">
        <v>2188</v>
      </c>
      <c r="K1085" s="151"/>
      <c r="L1085" s="155">
        <v>1140</v>
      </c>
      <c r="M1085" s="155">
        <v>1140</v>
      </c>
      <c r="N1085" s="156">
        <v>45054</v>
      </c>
      <c r="O1085" s="157"/>
      <c r="P1085" s="157"/>
      <c r="Q1085" s="179" t="e">
        <f>MONTH([1]!Tableau13[[#This Row],[Date début]])</f>
        <v>#REF!</v>
      </c>
      <c r="R1085" s="183" t="e">
        <f>YEAR([1]!Tableau13[[#This Row],[Date début]])</f>
        <v>#REF!</v>
      </c>
      <c r="S1085" s="44"/>
      <c r="T1085" s="44"/>
    </row>
    <row r="1086" spans="1:20" s="75" customFormat="1" ht="75">
      <c r="A1086" s="150">
        <v>45054</v>
      </c>
      <c r="B1086" s="151">
        <v>434</v>
      </c>
      <c r="C1086" s="152" t="str">
        <f>IF(ISNA(VLOOKUP(Tableau13[[#This Row],[Code]],'Code Véhicule'!$A$4:$C$185,2,0)),"",VLOOKUP(Tableau13[[#This Row],[Code]],'Code Véhicule'!$A$4:$C$185,2,0))</f>
        <v>Chariot elevateur</v>
      </c>
      <c r="D1086" s="153" t="str">
        <f>IF(ISNA(VLOOKUP(Tableau13[[#This Row],[Code]],'Code Véhicule'!$A$4:$C$185,3,0)),"",VLOOKUP(Tableau13[[#This Row],[Code]],'Code Véhicule'!$A$4:$C$185,3,0))</f>
        <v>Linde H30D</v>
      </c>
      <c r="E1086" s="151" t="str">
        <f>IF(ISNA(VLOOKUP(Tableau13[[#This Row],[Code]],'Code Véhicule'!$A$4:$D$185,4,0))," ",VLOOKUP(Tableau13[[#This Row],[Code]],'Code Véhicule'!$A$4:$D$185,4,0))</f>
        <v>-</v>
      </c>
      <c r="F1086" s="151"/>
      <c r="G1086" s="153" t="s">
        <v>393</v>
      </c>
      <c r="H1086" s="153" t="s">
        <v>608</v>
      </c>
      <c r="I1086" s="151" t="s">
        <v>304</v>
      </c>
      <c r="J1086" s="154" t="s">
        <v>2189</v>
      </c>
      <c r="K1086" s="151"/>
      <c r="L1086" s="155"/>
      <c r="M1086" s="155"/>
      <c r="N1086" s="156"/>
      <c r="O1086" s="157"/>
      <c r="P1086" s="157"/>
      <c r="Q1086" s="179" t="e">
        <f>MONTH([1]!Tableau13[[#This Row],[Date début]])</f>
        <v>#REF!</v>
      </c>
      <c r="R1086" s="183" t="e">
        <f>YEAR([1]!Tableau13[[#This Row],[Date début]])</f>
        <v>#REF!</v>
      </c>
      <c r="S1086" s="44"/>
      <c r="T1086" s="44"/>
    </row>
    <row r="1087" spans="1:20" s="75" customFormat="1" ht="60">
      <c r="A1087" s="150">
        <v>45055</v>
      </c>
      <c r="B1087" s="151">
        <v>436</v>
      </c>
      <c r="C1087" s="152" t="str">
        <f>IF(ISNA(VLOOKUP(Tableau13[[#This Row],[Code]],'Code Véhicule'!$A$4:$C$185,2,0)),"",VLOOKUP(Tableau13[[#This Row],[Code]],'Code Véhicule'!$A$4:$C$185,2,0))</f>
        <v>Camion</v>
      </c>
      <c r="D1087" s="153" t="str">
        <f>IF(ISNA(VLOOKUP(Tableau13[[#This Row],[Code]],'Code Véhicule'!$A$4:$C$185,3,0)),"",VLOOKUP(Tableau13[[#This Row],[Code]],'Code Véhicule'!$A$4:$C$185,3,0))</f>
        <v>Mitsubishi</v>
      </c>
      <c r="E1087" s="151" t="str">
        <f>IF(ISNA(VLOOKUP(Tableau13[[#This Row],[Code]],'Code Véhicule'!$A$4:$D$185,4,0))," ",VLOOKUP(Tableau13[[#This Row],[Code]],'Code Véhicule'!$A$4:$D$185,4,0))</f>
        <v>11470-A-73</v>
      </c>
      <c r="F1087" s="151"/>
      <c r="G1087" s="153" t="s">
        <v>393</v>
      </c>
      <c r="H1087" s="153" t="s">
        <v>608</v>
      </c>
      <c r="I1087" s="151" t="s">
        <v>304</v>
      </c>
      <c r="J1087" s="154" t="s">
        <v>2190</v>
      </c>
      <c r="K1087" s="151"/>
      <c r="L1087" s="155">
        <v>240</v>
      </c>
      <c r="M1087" s="155">
        <v>240</v>
      </c>
      <c r="N1087" s="156">
        <v>45055</v>
      </c>
      <c r="O1087" s="157"/>
      <c r="P1087" s="157"/>
      <c r="Q1087" s="179" t="e">
        <f>MONTH([1]!Tableau13[[#This Row],[Date début]])</f>
        <v>#REF!</v>
      </c>
      <c r="R1087" s="183" t="e">
        <f>YEAR([1]!Tableau13[[#This Row],[Date début]])</f>
        <v>#REF!</v>
      </c>
      <c r="S1087" s="44"/>
      <c r="T1087" s="44"/>
    </row>
    <row r="1088" spans="1:20" s="75" customFormat="1" ht="30">
      <c r="A1088" s="150">
        <v>45057</v>
      </c>
      <c r="B1088" s="151">
        <v>407</v>
      </c>
      <c r="C1088" s="152" t="str">
        <f>IF(ISNA(VLOOKUP(Tableau13[[#This Row],[Code]],'Code Véhicule'!$A$4:$C$185,2,0)),"",VLOOKUP(Tableau13[[#This Row],[Code]],'Code Véhicule'!$A$4:$C$185,2,0))</f>
        <v>Semi remorque</v>
      </c>
      <c r="D1088" s="153" t="str">
        <f>IF(ISNA(VLOOKUP(Tableau13[[#This Row],[Code]],'Code Véhicule'!$A$4:$C$185,3,0)),"",VLOOKUP(Tableau13[[#This Row],[Code]],'Code Véhicule'!$A$4:$C$185,3,0))</f>
        <v>MAN</v>
      </c>
      <c r="E1088" s="151" t="str">
        <f>IF(ISNA(VLOOKUP(Tableau13[[#This Row],[Code]],'Code Véhicule'!$A$4:$D$185,4,0))," ",VLOOKUP(Tableau13[[#This Row],[Code]],'Code Véhicule'!$A$4:$D$185,4,0))</f>
        <v>706-A-73</v>
      </c>
      <c r="F1088" s="151"/>
      <c r="G1088" s="153" t="s">
        <v>511</v>
      </c>
      <c r="H1088" s="153" t="s">
        <v>1071</v>
      </c>
      <c r="I1088" s="151" t="s">
        <v>304</v>
      </c>
      <c r="J1088" s="154" t="s">
        <v>2191</v>
      </c>
      <c r="K1088" s="151"/>
      <c r="L1088" s="155">
        <v>240</v>
      </c>
      <c r="M1088" s="155">
        <v>240</v>
      </c>
      <c r="N1088" s="156">
        <v>45057</v>
      </c>
      <c r="O1088" s="157"/>
      <c r="P1088" s="157"/>
      <c r="Q1088" s="179" t="e">
        <f>MONTH([1]!Tableau13[[#This Row],[Date début]])</f>
        <v>#REF!</v>
      </c>
      <c r="R1088" s="183" t="e">
        <f>YEAR([1]!Tableau13[[#This Row],[Date début]])</f>
        <v>#REF!</v>
      </c>
      <c r="S1088" s="44"/>
      <c r="T1088" s="44"/>
    </row>
    <row r="1089" spans="1:20" s="75" customFormat="1" ht="45">
      <c r="A1089" s="150">
        <v>45057</v>
      </c>
      <c r="B1089" s="151">
        <v>419</v>
      </c>
      <c r="C1089" s="152" t="str">
        <f>IF(ISNA(VLOOKUP(Tableau13[[#This Row],[Code]],'Code Véhicule'!$A$4:$C$185,2,0)),"",VLOOKUP(Tableau13[[#This Row],[Code]],'Code Véhicule'!$A$4:$C$185,2,0))</f>
        <v>Voiture de fonction</v>
      </c>
      <c r="D1089" s="153" t="str">
        <f>IF(ISNA(VLOOKUP(Tableau13[[#This Row],[Code]],'Code Véhicule'!$A$4:$C$185,3,0)),"",VLOOKUP(Tableau13[[#This Row],[Code]],'Code Véhicule'!$A$4:$C$185,3,0))</f>
        <v>kangoo</v>
      </c>
      <c r="E1089" s="151" t="str">
        <f>IF(ISNA(VLOOKUP(Tableau13[[#This Row],[Code]],'Code Véhicule'!$A$4:$D$185,4,0))," ",VLOOKUP(Tableau13[[#This Row],[Code]],'Code Véhicule'!$A$4:$D$185,4,0))</f>
        <v>4812-A-73</v>
      </c>
      <c r="F1089" s="151"/>
      <c r="G1089" s="153" t="s">
        <v>393</v>
      </c>
      <c r="H1089" s="153" t="s">
        <v>608</v>
      </c>
      <c r="I1089" s="151" t="s">
        <v>302</v>
      </c>
      <c r="J1089" s="154" t="s">
        <v>2192</v>
      </c>
      <c r="K1089" s="151"/>
      <c r="L1089" s="155"/>
      <c r="M1089" s="155"/>
      <c r="N1089" s="156"/>
      <c r="O1089" s="157"/>
      <c r="P1089" s="157"/>
      <c r="Q1089" s="179" t="e">
        <f>MONTH([1]!Tableau13[[#This Row],[Date début]])</f>
        <v>#REF!</v>
      </c>
      <c r="R1089" s="183" t="e">
        <f>YEAR([1]!Tableau13[[#This Row],[Date début]])</f>
        <v>#REF!</v>
      </c>
      <c r="S1089" s="44"/>
      <c r="T1089" s="44"/>
    </row>
    <row r="1090" spans="1:20" s="75" customFormat="1" ht="45">
      <c r="A1090" s="150">
        <v>45058</v>
      </c>
      <c r="B1090" s="151">
        <v>417</v>
      </c>
      <c r="C1090" s="152" t="str">
        <f>IF(ISNA(VLOOKUP(Tableau13[[#This Row],[Code]],'Code Véhicule'!$A$4:$C$185,2,0)),"",VLOOKUP(Tableau13[[#This Row],[Code]],'Code Véhicule'!$A$4:$C$185,2,0))</f>
        <v>Voiture de fonction</v>
      </c>
      <c r="D1090" s="153" t="str">
        <f>IF(ISNA(VLOOKUP(Tableau13[[#This Row],[Code]],'Code Véhicule'!$A$4:$C$185,3,0)),"",VLOOKUP(Tableau13[[#This Row],[Code]],'Code Véhicule'!$A$4:$C$185,3,0))</f>
        <v>Berlingo</v>
      </c>
      <c r="E1090" s="151" t="str">
        <f>IF(ISNA(VLOOKUP(Tableau13[[#This Row],[Code]],'Code Véhicule'!$A$4:$D$185,4,0))," ",VLOOKUP(Tableau13[[#This Row],[Code]],'Code Véhicule'!$A$4:$D$185,4,0))</f>
        <v>981-A-73</v>
      </c>
      <c r="F1090" s="151"/>
      <c r="G1090" s="153" t="s">
        <v>610</v>
      </c>
      <c r="H1090" s="153" t="s">
        <v>2193</v>
      </c>
      <c r="I1090" s="151" t="s">
        <v>304</v>
      </c>
      <c r="J1090" s="154" t="s">
        <v>2194</v>
      </c>
      <c r="K1090" s="151"/>
      <c r="L1090" s="155">
        <v>570</v>
      </c>
      <c r="M1090" s="155">
        <v>570</v>
      </c>
      <c r="N1090" s="156">
        <v>45059</v>
      </c>
      <c r="O1090" s="157"/>
      <c r="P1090" s="157"/>
      <c r="Q1090" s="179" t="e">
        <f>MONTH([1]!Tableau13[[#This Row],[Date début]])</f>
        <v>#REF!</v>
      </c>
      <c r="R1090" s="183" t="e">
        <f>YEAR([1]!Tableau13[[#This Row],[Date début]])</f>
        <v>#REF!</v>
      </c>
      <c r="S1090" s="44"/>
      <c r="T1090" s="44"/>
    </row>
    <row r="1091" spans="1:20" s="75" customFormat="1" ht="30">
      <c r="A1091" s="150">
        <v>45058</v>
      </c>
      <c r="B1091" s="151">
        <v>413</v>
      </c>
      <c r="C1091" s="152" t="str">
        <f>IF(ISNA(VLOOKUP(Tableau13[[#This Row],[Code]],'Code Véhicule'!$A$4:$C$185,2,0)),"",VLOOKUP(Tableau13[[#This Row],[Code]],'Code Véhicule'!$A$4:$C$185,2,0))</f>
        <v>Chargeur</v>
      </c>
      <c r="D1091" s="153" t="str">
        <f>IF(ISNA(VLOOKUP(Tableau13[[#This Row],[Code]],'Code Véhicule'!$A$4:$C$185,3,0)),"",VLOOKUP(Tableau13[[#This Row],[Code]],'Code Véhicule'!$A$4:$C$185,3,0))</f>
        <v>Caterpillar</v>
      </c>
      <c r="E1091" s="151" t="str">
        <f>IF(ISNA(VLOOKUP(Tableau13[[#This Row],[Code]],'Code Véhicule'!$A$4:$D$185,4,0))," ",VLOOKUP(Tableau13[[#This Row],[Code]],'Code Véhicule'!$A$4:$D$185,4,0))</f>
        <v>-</v>
      </c>
      <c r="F1091" s="151"/>
      <c r="G1091" s="153" t="s">
        <v>1478</v>
      </c>
      <c r="H1091" s="153" t="s">
        <v>2174</v>
      </c>
      <c r="I1091" s="151" t="s">
        <v>304</v>
      </c>
      <c r="J1091" s="154" t="s">
        <v>2175</v>
      </c>
      <c r="K1091" s="151"/>
      <c r="L1091" s="155">
        <v>570</v>
      </c>
      <c r="M1091" s="155">
        <v>570</v>
      </c>
      <c r="N1091" s="156">
        <v>45058</v>
      </c>
      <c r="O1091" s="157"/>
      <c r="P1091" s="157"/>
      <c r="Q1091" s="179" t="e">
        <f>MONTH([1]!Tableau13[[#This Row],[Date début]])</f>
        <v>#REF!</v>
      </c>
      <c r="R1091" s="183" t="e">
        <f>YEAR([1]!Tableau13[[#This Row],[Date début]])</f>
        <v>#REF!</v>
      </c>
      <c r="S1091" s="44"/>
      <c r="T1091" s="44"/>
    </row>
    <row r="1092" spans="1:20" s="75" customFormat="1" ht="60">
      <c r="A1092" s="91">
        <v>45061</v>
      </c>
      <c r="B1092" s="92">
        <v>481</v>
      </c>
      <c r="C1092" s="93" t="str">
        <f>IF(ISNA(VLOOKUP(Tableau13[[#This Row],[Code]],'Code Véhicule'!$A$4:$C$185,2,0)),"",VLOOKUP(Tableau13[[#This Row],[Code]],'Code Véhicule'!$A$4:$C$185,2,0))</f>
        <v>Camion</v>
      </c>
      <c r="D1092" s="94" t="str">
        <f>IF(ISNA(VLOOKUP(Tableau13[[#This Row],[Code]],'Code Véhicule'!$A$4:$C$185,3,0)),"",VLOOKUP(Tableau13[[#This Row],[Code]],'Code Véhicule'!$A$4:$C$185,3,0))</f>
        <v>VOLVO</v>
      </c>
      <c r="E1092" s="92" t="str">
        <f>IF(ISNA(VLOOKUP(Tableau13[[#This Row],[Code]],'Code Véhicule'!$A$4:$D$185,4,0))," ",VLOOKUP(Tableau13[[#This Row],[Code]],'Code Véhicule'!$A$4:$D$185,4,0))</f>
        <v>22300-A-73</v>
      </c>
      <c r="F1092" s="92"/>
      <c r="G1092" s="38" t="s">
        <v>635</v>
      </c>
      <c r="H1092" s="38" t="s">
        <v>2163</v>
      </c>
      <c r="I1092" s="36" t="s">
        <v>304</v>
      </c>
      <c r="J1092" s="39" t="s">
        <v>2168</v>
      </c>
      <c r="K1092" s="92"/>
      <c r="L1092" s="96">
        <f>570*2</f>
        <v>1140</v>
      </c>
      <c r="M1092" s="96">
        <v>1140</v>
      </c>
      <c r="N1092" s="97">
        <v>45063</v>
      </c>
      <c r="O1092" s="98"/>
      <c r="P1092" s="98"/>
      <c r="Q1092" s="177" t="e">
        <f>MONTH([1]!Tableau13[[#This Row],[Date début]])</f>
        <v>#REF!</v>
      </c>
      <c r="R1092" s="181" t="e">
        <f>YEAR([1]!Tableau13[[#This Row],[Date début]])</f>
        <v>#REF!</v>
      </c>
      <c r="S1092" s="44"/>
      <c r="T1092" s="44"/>
    </row>
    <row r="1093" spans="1:20" s="75" customFormat="1" ht="23.25">
      <c r="A1093" s="150">
        <v>45061</v>
      </c>
      <c r="B1093" s="151">
        <v>410</v>
      </c>
      <c r="C1093" s="152" t="str">
        <f>IF(ISNA(VLOOKUP(Tableau13[[#This Row],[Code]],'Code Véhicule'!$A$4:$C$185,2,0)),"",VLOOKUP(Tableau13[[#This Row],[Code]],'Code Véhicule'!$A$4:$C$185,2,0))</f>
        <v>Semi remorque</v>
      </c>
      <c r="D1093" s="153" t="str">
        <f>IF(ISNA(VLOOKUP(Tableau13[[#This Row],[Code]],'Code Véhicule'!$A$4:$C$185,3,0)),"",VLOOKUP(Tableau13[[#This Row],[Code]],'Code Véhicule'!$A$4:$C$185,3,0))</f>
        <v>MAN</v>
      </c>
      <c r="E1093" s="151" t="str">
        <f>IF(ISNA(VLOOKUP(Tableau13[[#This Row],[Code]],'Code Véhicule'!$A$4:$D$185,4,0))," ",VLOOKUP(Tableau13[[#This Row],[Code]],'Code Véhicule'!$A$4:$D$185,4,0))</f>
        <v xml:space="preserve">28659-D-1 </v>
      </c>
      <c r="F1093" s="151"/>
      <c r="G1093" s="153" t="s">
        <v>560</v>
      </c>
      <c r="H1093" s="153" t="s">
        <v>604</v>
      </c>
      <c r="I1093" s="151" t="s">
        <v>304</v>
      </c>
      <c r="J1093" s="154" t="s">
        <v>530</v>
      </c>
      <c r="K1093" s="151"/>
      <c r="L1093" s="155">
        <v>120</v>
      </c>
      <c r="M1093" s="155">
        <v>120</v>
      </c>
      <c r="N1093" s="156">
        <v>45061</v>
      </c>
      <c r="O1093" s="157"/>
      <c r="P1093" s="157"/>
      <c r="Q1093" s="179" t="e">
        <f>MONTH([1]!Tableau13[[#This Row],[Date début]])</f>
        <v>#REF!</v>
      </c>
      <c r="R1093" s="183" t="e">
        <f>YEAR([1]!Tableau13[[#This Row],[Date début]])</f>
        <v>#REF!</v>
      </c>
      <c r="S1093" s="44"/>
      <c r="T1093" s="44"/>
    </row>
    <row r="1094" spans="1:20" s="75" customFormat="1" ht="45">
      <c r="A1094" s="91">
        <v>45064</v>
      </c>
      <c r="B1094" s="92">
        <v>436</v>
      </c>
      <c r="C1094" s="93" t="str">
        <f>IF(ISNA(VLOOKUP(Tableau13[[#This Row],[Code]],'Code Véhicule'!$A$4:$C$185,2,0)),"",VLOOKUP(Tableau13[[#This Row],[Code]],'Code Véhicule'!$A$4:$C$185,2,0))</f>
        <v>Camion</v>
      </c>
      <c r="D1094" s="94" t="str">
        <f>IF(ISNA(VLOOKUP(Tableau13[[#This Row],[Code]],'Code Véhicule'!$A$4:$C$185,3,0)),"",VLOOKUP(Tableau13[[#This Row],[Code]],'Code Véhicule'!$A$4:$C$185,3,0))</f>
        <v>Mitsubishi</v>
      </c>
      <c r="E1094" s="92" t="str">
        <f>IF(ISNA(VLOOKUP(Tableau13[[#This Row],[Code]],'Code Véhicule'!$A$4:$D$185,4,0))," ",VLOOKUP(Tableau13[[#This Row],[Code]],'Code Véhicule'!$A$4:$D$185,4,0))</f>
        <v>11470-A-73</v>
      </c>
      <c r="F1094" s="92"/>
      <c r="G1094" s="38" t="s">
        <v>2169</v>
      </c>
      <c r="H1094" s="38" t="s">
        <v>2170</v>
      </c>
      <c r="I1094" s="36" t="s">
        <v>304</v>
      </c>
      <c r="J1094" s="39" t="s">
        <v>2171</v>
      </c>
      <c r="K1094" s="36" t="s">
        <v>903</v>
      </c>
      <c r="L1094" s="96">
        <v>570</v>
      </c>
      <c r="M1094" s="96">
        <v>570</v>
      </c>
      <c r="N1094" s="97">
        <v>45064</v>
      </c>
      <c r="O1094" s="98"/>
      <c r="P1094" s="98"/>
      <c r="Q1094" s="177" t="e">
        <f>MONTH([1]!Tableau13[[#This Row],[Date début]])</f>
        <v>#REF!</v>
      </c>
      <c r="R1094" s="181" t="e">
        <f>YEAR([1]!Tableau13[[#This Row],[Date début]])</f>
        <v>#REF!</v>
      </c>
      <c r="S1094" s="44"/>
      <c r="T1094" s="44"/>
    </row>
    <row r="1095" spans="1:20" s="75" customFormat="1" ht="30">
      <c r="A1095" s="91">
        <v>45064</v>
      </c>
      <c r="B1095" s="92">
        <v>429</v>
      </c>
      <c r="C1095" s="93" t="str">
        <f>IF(ISNA(VLOOKUP(Tableau13[[#This Row],[Code]],'Code Véhicule'!$A$4:$C$185,2,0)),"",VLOOKUP(Tableau13[[#This Row],[Code]],'Code Véhicule'!$A$4:$C$185,2,0))</f>
        <v>Chariot elevateur</v>
      </c>
      <c r="D1095" s="94" t="str">
        <f>IF(ISNA(VLOOKUP(Tableau13[[#This Row],[Code]],'Code Véhicule'!$A$4:$C$185,3,0)),"",VLOOKUP(Tableau13[[#This Row],[Code]],'Code Véhicule'!$A$4:$C$185,3,0))</f>
        <v>Fenwick HD30</v>
      </c>
      <c r="E1095" s="92" t="str">
        <f>IF(ISNA(VLOOKUP(Tableau13[[#This Row],[Code]],'Code Véhicule'!$A$4:$D$185,4,0))," ",VLOOKUP(Tableau13[[#This Row],[Code]],'Code Véhicule'!$A$4:$D$185,4,0))</f>
        <v>-</v>
      </c>
      <c r="F1095" s="92"/>
      <c r="G1095" s="38" t="s">
        <v>2172</v>
      </c>
      <c r="H1095" s="38" t="s">
        <v>2173</v>
      </c>
      <c r="I1095" s="36" t="s">
        <v>304</v>
      </c>
      <c r="J1095" s="95"/>
      <c r="K1095" s="92"/>
      <c r="L1095" s="96"/>
      <c r="M1095" s="96"/>
      <c r="N1095" s="97"/>
      <c r="O1095" s="98"/>
      <c r="P1095" s="98"/>
      <c r="Q1095" s="177" t="e">
        <f>MONTH([1]!Tableau13[[#This Row],[Date début]])</f>
        <v>#REF!</v>
      </c>
      <c r="R1095" s="181" t="e">
        <f>YEAR([1]!Tableau13[[#This Row],[Date début]])</f>
        <v>#REF!</v>
      </c>
      <c r="S1095" s="44"/>
      <c r="T1095" s="44"/>
    </row>
    <row r="1096" spans="1:20" s="75" customFormat="1" ht="23.25">
      <c r="A1096" s="150">
        <v>45065</v>
      </c>
      <c r="B1096" s="151" t="s">
        <v>1244</v>
      </c>
      <c r="C1096" s="152" t="str">
        <f>IF(ISNA(VLOOKUP(Tableau13[[#This Row],[Code]],'Code Véhicule'!$A$4:$C$185,2,0)),"",VLOOKUP(Tableau13[[#This Row],[Code]],'Code Véhicule'!$A$4:$C$185,2,0))</f>
        <v/>
      </c>
      <c r="D1096" s="153" t="str">
        <f>IF(ISNA(VLOOKUP(Tableau13[[#This Row],[Code]],'Code Véhicule'!$A$4:$C$185,3,0)),"",VLOOKUP(Tableau13[[#This Row],[Code]],'Code Véhicule'!$A$4:$C$185,3,0))</f>
        <v/>
      </c>
      <c r="E1096" s="151" t="str">
        <f>IF(ISNA(VLOOKUP(Tableau13[[#This Row],[Code]],'Code Véhicule'!$A$4:$D$185,4,0))," ",VLOOKUP(Tableau13[[#This Row],[Code]],'Code Véhicule'!$A$4:$D$185,4,0))</f>
        <v xml:space="preserve"> </v>
      </c>
      <c r="F1096" s="151"/>
      <c r="G1096" s="153" t="s">
        <v>560</v>
      </c>
      <c r="H1096" s="153" t="s">
        <v>2195</v>
      </c>
      <c r="I1096" s="151" t="s">
        <v>304</v>
      </c>
      <c r="J1096" s="154" t="s">
        <v>2196</v>
      </c>
      <c r="K1096" s="151"/>
      <c r="L1096" s="155">
        <v>240</v>
      </c>
      <c r="M1096" s="155">
        <v>240</v>
      </c>
      <c r="N1096" s="156">
        <v>45065</v>
      </c>
      <c r="O1096" s="157"/>
      <c r="P1096" s="157"/>
      <c r="Q1096" s="179" t="e">
        <f>MONTH([1]!Tableau13[[#This Row],[Date début]])</f>
        <v>#REF!</v>
      </c>
      <c r="R1096" s="183" t="e">
        <f>YEAR([1]!Tableau13[[#This Row],[Date début]])</f>
        <v>#REF!</v>
      </c>
      <c r="S1096" s="44"/>
      <c r="T1096" s="44"/>
    </row>
    <row r="1097" spans="1:20" s="75" customFormat="1" ht="23.25">
      <c r="A1097" s="35">
        <v>45065</v>
      </c>
      <c r="B1097" s="92">
        <v>407</v>
      </c>
      <c r="C1097" s="93" t="str">
        <f>IF(ISNA(VLOOKUP(Tableau13[[#This Row],[Code]],'Code Véhicule'!$A$4:$C$185,2,0)),"",VLOOKUP(Tableau13[[#This Row],[Code]],'Code Véhicule'!$A$4:$C$185,2,0))</f>
        <v>Semi remorque</v>
      </c>
      <c r="D1097" s="94" t="str">
        <f>IF(ISNA(VLOOKUP(Tableau13[[#This Row],[Code]],'Code Véhicule'!$A$4:$C$185,3,0)),"",VLOOKUP(Tableau13[[#This Row],[Code]],'Code Véhicule'!$A$4:$C$185,3,0))</f>
        <v>MAN</v>
      </c>
      <c r="E1097" s="92" t="str">
        <f>IF(ISNA(VLOOKUP(Tableau13[[#This Row],[Code]],'Code Véhicule'!$A$4:$D$185,4,0))," ",VLOOKUP(Tableau13[[#This Row],[Code]],'Code Véhicule'!$A$4:$D$185,4,0))</f>
        <v>706-A-73</v>
      </c>
      <c r="F1097" s="92"/>
      <c r="G1097" s="38" t="s">
        <v>1848</v>
      </c>
      <c r="H1097" s="38" t="s">
        <v>2176</v>
      </c>
      <c r="I1097" s="36" t="s">
        <v>304</v>
      </c>
      <c r="J1097" s="39" t="s">
        <v>2177</v>
      </c>
      <c r="K1097" s="92"/>
      <c r="L1097" s="96">
        <v>570</v>
      </c>
      <c r="M1097" s="96">
        <v>570</v>
      </c>
      <c r="N1097" s="97">
        <v>45065</v>
      </c>
      <c r="O1097" s="98"/>
      <c r="P1097" s="98"/>
      <c r="Q1097" s="177" t="e">
        <f>MONTH([1]!Tableau13[[#This Row],[Date début]])</f>
        <v>#REF!</v>
      </c>
      <c r="R1097" s="181" t="e">
        <f>YEAR([1]!Tableau13[[#This Row],[Date début]])</f>
        <v>#REF!</v>
      </c>
      <c r="S1097" s="44"/>
      <c r="T1097" s="44"/>
    </row>
    <row r="1098" spans="1:20" s="75" customFormat="1" ht="30">
      <c r="A1098" s="150">
        <v>45066</v>
      </c>
      <c r="B1098" s="151">
        <v>435</v>
      </c>
      <c r="C1098" s="152" t="str">
        <f>IF(ISNA(VLOOKUP(Tableau13[[#This Row],[Code]],'Code Véhicule'!$A$4:$C$185,2,0)),"",VLOOKUP(Tableau13[[#This Row],[Code]],'Code Véhicule'!$A$4:$C$185,2,0))</f>
        <v>Camion</v>
      </c>
      <c r="D1098" s="153" t="str">
        <f>IF(ISNA(VLOOKUP(Tableau13[[#This Row],[Code]],'Code Véhicule'!$A$4:$C$185,3,0)),"",VLOOKUP(Tableau13[[#This Row],[Code]],'Code Véhicule'!$A$4:$C$185,3,0))</f>
        <v>Mitsubishi</v>
      </c>
      <c r="E1098" s="151" t="str">
        <f>IF(ISNA(VLOOKUP(Tableau13[[#This Row],[Code]],'Code Véhicule'!$A$4:$D$185,4,0))," ",VLOOKUP(Tableau13[[#This Row],[Code]],'Code Véhicule'!$A$4:$D$185,4,0))</f>
        <v xml:space="preserve"> 11469-A-73</v>
      </c>
      <c r="F1098" s="151"/>
      <c r="G1098" s="153" t="s">
        <v>393</v>
      </c>
      <c r="H1098" s="153" t="s">
        <v>608</v>
      </c>
      <c r="I1098" s="151" t="s">
        <v>302</v>
      </c>
      <c r="J1098" s="154" t="s">
        <v>2197</v>
      </c>
      <c r="K1098" s="151"/>
      <c r="L1098" s="155">
        <v>240</v>
      </c>
      <c r="M1098" s="155">
        <v>240</v>
      </c>
      <c r="N1098" s="156">
        <v>45065</v>
      </c>
      <c r="O1098" s="157"/>
      <c r="P1098" s="157"/>
      <c r="Q1098" s="179" t="e">
        <f>MONTH([1]!Tableau13[[#This Row],[Date début]])</f>
        <v>#REF!</v>
      </c>
      <c r="R1098" s="183" t="e">
        <f>YEAR([1]!Tableau13[[#This Row],[Date début]])</f>
        <v>#REF!</v>
      </c>
      <c r="S1098" s="44"/>
      <c r="T1098" s="44"/>
    </row>
    <row r="1099" spans="1:20" s="75" customFormat="1" ht="45">
      <c r="A1099" s="150">
        <v>45066</v>
      </c>
      <c r="B1099" s="151">
        <v>407</v>
      </c>
      <c r="C1099" s="152" t="str">
        <f>IF(ISNA(VLOOKUP(Tableau13[[#This Row],[Code]],'Code Véhicule'!$A$4:$C$185,2,0)),"",VLOOKUP(Tableau13[[#This Row],[Code]],'Code Véhicule'!$A$4:$C$185,2,0))</f>
        <v>Semi remorque</v>
      </c>
      <c r="D1099" s="153" t="str">
        <f>IF(ISNA(VLOOKUP(Tableau13[[#This Row],[Code]],'Code Véhicule'!$A$4:$C$185,3,0)),"",VLOOKUP(Tableau13[[#This Row],[Code]],'Code Véhicule'!$A$4:$C$185,3,0))</f>
        <v>MAN</v>
      </c>
      <c r="E1099" s="151" t="str">
        <f>IF(ISNA(VLOOKUP(Tableau13[[#This Row],[Code]],'Code Véhicule'!$A$4:$D$185,4,0))," ",VLOOKUP(Tableau13[[#This Row],[Code]],'Code Véhicule'!$A$4:$D$185,4,0))</f>
        <v>706-A-73</v>
      </c>
      <c r="F1099" s="151"/>
      <c r="G1099" s="153" t="s">
        <v>1848</v>
      </c>
      <c r="H1099" s="153" t="s">
        <v>2176</v>
      </c>
      <c r="I1099" s="151" t="s">
        <v>304</v>
      </c>
      <c r="J1099" s="154" t="s">
        <v>2198</v>
      </c>
      <c r="K1099" s="151"/>
      <c r="L1099" s="155">
        <v>1140</v>
      </c>
      <c r="M1099" s="155">
        <v>1140</v>
      </c>
      <c r="N1099" s="156">
        <v>45068</v>
      </c>
      <c r="O1099" s="157"/>
      <c r="P1099" s="157"/>
      <c r="Q1099" s="179" t="e">
        <f>MONTH([1]!Tableau13[[#This Row],[Date début]])</f>
        <v>#REF!</v>
      </c>
      <c r="R1099" s="183" t="e">
        <f>YEAR([1]!Tableau13[[#This Row],[Date début]])</f>
        <v>#REF!</v>
      </c>
      <c r="S1099" s="44"/>
      <c r="T1099" s="44"/>
    </row>
    <row r="1100" spans="1:20" s="75" customFormat="1" ht="60">
      <c r="A1100" s="91">
        <v>45068</v>
      </c>
      <c r="B1100" s="92">
        <v>403</v>
      </c>
      <c r="C1100" s="93" t="str">
        <f>IF(ISNA(VLOOKUP(Tableau13[[#This Row],[Code]],'Code Véhicule'!$A$4:$C$185,2,0)),"",VLOOKUP(Tableau13[[#This Row],[Code]],'Code Véhicule'!$A$4:$C$185,2,0))</f>
        <v>Camion</v>
      </c>
      <c r="D1100" s="94" t="str">
        <f>IF(ISNA(VLOOKUP(Tableau13[[#This Row],[Code]],'Code Véhicule'!$A$4:$C$185,3,0)),"",VLOOKUP(Tableau13[[#This Row],[Code]],'Code Véhicule'!$A$4:$C$185,3,0))</f>
        <v>MAN</v>
      </c>
      <c r="E1100" s="92" t="str">
        <f>IF(ISNA(VLOOKUP(Tableau13[[#This Row],[Code]],'Code Véhicule'!$A$4:$D$185,4,0))," ",VLOOKUP(Tableau13[[#This Row],[Code]],'Code Véhicule'!$A$4:$D$185,4,0))</f>
        <v>4790-B-8</v>
      </c>
      <c r="F1100" s="92"/>
      <c r="G1100" s="38" t="s">
        <v>2178</v>
      </c>
      <c r="H1100" s="38" t="s">
        <v>1017</v>
      </c>
      <c r="I1100" s="36" t="s">
        <v>304</v>
      </c>
      <c r="J1100" s="39" t="s">
        <v>2179</v>
      </c>
      <c r="K1100" s="92"/>
      <c r="L1100" s="96">
        <v>1140</v>
      </c>
      <c r="M1100" s="96">
        <v>1140</v>
      </c>
      <c r="N1100" s="97">
        <v>45071</v>
      </c>
      <c r="O1100" s="98"/>
      <c r="P1100" s="98"/>
      <c r="Q1100" s="177" t="e">
        <f>MONTH([1]!Tableau13[[#This Row],[Date début]])</f>
        <v>#REF!</v>
      </c>
      <c r="R1100" s="181" t="e">
        <f>YEAR([1]!Tableau13[[#This Row],[Date début]])</f>
        <v>#REF!</v>
      </c>
      <c r="S1100" s="44"/>
      <c r="T1100" s="44"/>
    </row>
    <row r="1101" spans="1:20" s="75" customFormat="1" ht="23.25">
      <c r="A1101" s="150">
        <v>45069</v>
      </c>
      <c r="B1101" s="151">
        <v>436</v>
      </c>
      <c r="C1101" s="152" t="str">
        <f>IF(ISNA(VLOOKUP(Tableau13[[#This Row],[Code]],'Code Véhicule'!$A$4:$C$185,2,0)),"",VLOOKUP(Tableau13[[#This Row],[Code]],'Code Véhicule'!$A$4:$C$185,2,0))</f>
        <v>Camion</v>
      </c>
      <c r="D1101" s="153" t="str">
        <f>IF(ISNA(VLOOKUP(Tableau13[[#This Row],[Code]],'Code Véhicule'!$A$4:$C$185,3,0)),"",VLOOKUP(Tableau13[[#This Row],[Code]],'Code Véhicule'!$A$4:$C$185,3,0))</f>
        <v>Mitsubishi</v>
      </c>
      <c r="E1101" s="151" t="str">
        <f>IF(ISNA(VLOOKUP(Tableau13[[#This Row],[Code]],'Code Véhicule'!$A$4:$D$185,4,0))," ",VLOOKUP(Tableau13[[#This Row],[Code]],'Code Véhicule'!$A$4:$D$185,4,0))</f>
        <v>11470-A-73</v>
      </c>
      <c r="F1101" s="151"/>
      <c r="G1101" s="38" t="s">
        <v>537</v>
      </c>
      <c r="H1101" s="38" t="s">
        <v>2093</v>
      </c>
      <c r="I1101" s="36" t="s">
        <v>304</v>
      </c>
      <c r="J1101" s="39" t="s">
        <v>758</v>
      </c>
      <c r="K1101" s="151"/>
      <c r="L1101" s="155">
        <v>570</v>
      </c>
      <c r="M1101" s="155">
        <v>570</v>
      </c>
      <c r="N1101" s="41">
        <v>45069</v>
      </c>
      <c r="O1101" s="157"/>
      <c r="P1101" s="157"/>
      <c r="Q1101" s="179" t="e">
        <f>MONTH([1]!Tableau13[[#This Row],[Date début]])</f>
        <v>#REF!</v>
      </c>
      <c r="R1101" s="183" t="e">
        <f>YEAR([1]!Tableau13[[#This Row],[Date début]])</f>
        <v>#REF!</v>
      </c>
      <c r="S1101" s="44"/>
      <c r="T1101" s="44"/>
    </row>
    <row r="1102" spans="1:20" s="75" customFormat="1" ht="30">
      <c r="A1102" s="150">
        <v>45071</v>
      </c>
      <c r="B1102" s="151">
        <v>403</v>
      </c>
      <c r="C1102" s="152" t="str">
        <f>IF(ISNA(VLOOKUP(Tableau13[[#This Row],[Code]],'Code Véhicule'!$A$4:$C$185,2,0)),"",VLOOKUP(Tableau13[[#This Row],[Code]],'Code Véhicule'!$A$4:$C$185,2,0))</f>
        <v>Camion</v>
      </c>
      <c r="D1102" s="153" t="str">
        <f>IF(ISNA(VLOOKUP(Tableau13[[#This Row],[Code]],'Code Véhicule'!$A$4:$C$185,3,0)),"",VLOOKUP(Tableau13[[#This Row],[Code]],'Code Véhicule'!$A$4:$C$185,3,0))</f>
        <v>MAN</v>
      </c>
      <c r="E1102" s="151" t="str">
        <f>IF(ISNA(VLOOKUP(Tableau13[[#This Row],[Code]],'Code Véhicule'!$A$4:$D$185,4,0))," ",VLOOKUP(Tableau13[[#This Row],[Code]],'Code Véhicule'!$A$4:$D$185,4,0))</f>
        <v>4790-B-8</v>
      </c>
      <c r="F1102" s="151"/>
      <c r="G1102" s="38" t="s">
        <v>537</v>
      </c>
      <c r="H1102" s="38" t="s">
        <v>1017</v>
      </c>
      <c r="I1102" s="36" t="s">
        <v>304</v>
      </c>
      <c r="J1102" s="39" t="s">
        <v>2201</v>
      </c>
      <c r="K1102" s="151"/>
      <c r="L1102" s="155">
        <v>1140</v>
      </c>
      <c r="M1102" s="155">
        <v>1140</v>
      </c>
      <c r="N1102" s="156">
        <v>45071</v>
      </c>
      <c r="O1102" s="157"/>
      <c r="P1102" s="157"/>
      <c r="Q1102" s="179" t="e">
        <f>MONTH([1]!Tableau13[[#This Row],[Date début]])</f>
        <v>#REF!</v>
      </c>
      <c r="R1102" s="183" t="e">
        <f>YEAR([1]!Tableau13[[#This Row],[Date début]])</f>
        <v>#REF!</v>
      </c>
      <c r="S1102" s="44"/>
      <c r="T1102" s="44"/>
    </row>
    <row r="1103" spans="1:20" s="75" customFormat="1" ht="30">
      <c r="A1103" s="91">
        <v>45071</v>
      </c>
      <c r="B1103" s="92">
        <v>436</v>
      </c>
      <c r="C1103" s="93" t="str">
        <f>IF(ISNA(VLOOKUP(Tableau13[[#This Row],[Code]],'Code Véhicule'!$A$4:$C$185,2,0)),"",VLOOKUP(Tableau13[[#This Row],[Code]],'Code Véhicule'!$A$4:$C$185,2,0))</f>
        <v>Camion</v>
      </c>
      <c r="D1103" s="94" t="str">
        <f>IF(ISNA(VLOOKUP(Tableau13[[#This Row],[Code]],'Code Véhicule'!$A$4:$C$185,3,0)),"",VLOOKUP(Tableau13[[#This Row],[Code]],'Code Véhicule'!$A$4:$C$185,3,0))</f>
        <v>Mitsubishi</v>
      </c>
      <c r="E1103" s="92" t="str">
        <f>IF(ISNA(VLOOKUP(Tableau13[[#This Row],[Code]],'Code Véhicule'!$A$4:$D$185,4,0))," ",VLOOKUP(Tableau13[[#This Row],[Code]],'Code Véhicule'!$A$4:$D$185,4,0))</f>
        <v>11470-A-73</v>
      </c>
      <c r="F1103" s="92"/>
      <c r="G1103" s="38" t="s">
        <v>537</v>
      </c>
      <c r="H1103" s="38" t="s">
        <v>2093</v>
      </c>
      <c r="I1103" s="36" t="s">
        <v>304</v>
      </c>
      <c r="J1103" s="39" t="s">
        <v>2208</v>
      </c>
      <c r="K1103" s="92"/>
      <c r="L1103" s="96">
        <v>1140</v>
      </c>
      <c r="M1103" s="96">
        <v>1140</v>
      </c>
      <c r="N1103" s="97">
        <v>45073</v>
      </c>
      <c r="O1103" s="98"/>
      <c r="P1103" s="98"/>
      <c r="Q1103" s="177" t="e">
        <f>MONTH([1]!Tableau13[[#This Row],[Date début]])</f>
        <v>#REF!</v>
      </c>
      <c r="R1103" s="181" t="e">
        <f>YEAR([1]!Tableau13[[#This Row],[Date début]])</f>
        <v>#REF!</v>
      </c>
      <c r="S1103" s="44"/>
      <c r="T1103" s="44"/>
    </row>
    <row r="1104" spans="1:20" s="75" customFormat="1" ht="23.25">
      <c r="A1104" s="91">
        <v>45071</v>
      </c>
      <c r="B1104" s="92">
        <v>485</v>
      </c>
      <c r="C1104" s="93" t="str">
        <f>IF(ISNA(VLOOKUP(Tableau13[[#This Row],[Code]],'Code Véhicule'!$A$4:$C$185,2,0)),"",VLOOKUP(Tableau13[[#This Row],[Code]],'Code Véhicule'!$A$4:$C$185,2,0))</f>
        <v/>
      </c>
      <c r="D1104" s="94" t="str">
        <f>IF(ISNA(VLOOKUP(Tableau13[[#This Row],[Code]],'Code Véhicule'!$A$4:$C$185,3,0)),"",VLOOKUP(Tableau13[[#This Row],[Code]],'Code Véhicule'!$A$4:$C$185,3,0))</f>
        <v/>
      </c>
      <c r="E1104" s="92" t="str">
        <f>IF(ISNA(VLOOKUP(Tableau13[[#This Row],[Code]],'Code Véhicule'!$A$4:$D$185,4,0))," ",VLOOKUP(Tableau13[[#This Row],[Code]],'Code Véhicule'!$A$4:$D$185,4,0))</f>
        <v xml:space="preserve"> </v>
      </c>
      <c r="F1104" s="92"/>
      <c r="G1104" s="38" t="s">
        <v>545</v>
      </c>
      <c r="H1104" s="38" t="s">
        <v>2209</v>
      </c>
      <c r="I1104" s="36" t="s">
        <v>304</v>
      </c>
      <c r="J1104" s="39" t="s">
        <v>2210</v>
      </c>
      <c r="K1104" s="92"/>
      <c r="L1104" s="96">
        <v>570</v>
      </c>
      <c r="M1104" s="96">
        <v>570</v>
      </c>
      <c r="N1104" s="41">
        <v>45072</v>
      </c>
      <c r="O1104" s="98"/>
      <c r="P1104" s="98"/>
      <c r="Q1104" s="177" t="e">
        <f>MONTH([1]!Tableau13[[#This Row],[Date début]])</f>
        <v>#REF!</v>
      </c>
      <c r="R1104" s="181" t="e">
        <f>YEAR([1]!Tableau13[[#This Row],[Date début]])</f>
        <v>#REF!</v>
      </c>
      <c r="S1104" s="44"/>
      <c r="T1104" s="44"/>
    </row>
    <row r="1105" spans="1:20" s="75" customFormat="1" ht="30">
      <c r="A1105" s="35">
        <v>45073</v>
      </c>
      <c r="B1105" s="92">
        <v>480</v>
      </c>
      <c r="C1105" s="93" t="str">
        <f>IF(ISNA(VLOOKUP(Tableau13[[#This Row],[Code]],'Code Véhicule'!$A$4:$C$185,2,0)),"",VLOOKUP(Tableau13[[#This Row],[Code]],'Code Véhicule'!$A$4:$C$185,2,0))</f>
        <v>Camion</v>
      </c>
      <c r="D1105" s="94" t="str">
        <f>IF(ISNA(VLOOKUP(Tableau13[[#This Row],[Code]],'Code Véhicule'!$A$4:$C$185,3,0)),"",VLOOKUP(Tableau13[[#This Row],[Code]],'Code Véhicule'!$A$4:$C$185,3,0))</f>
        <v>VOLVO</v>
      </c>
      <c r="E1105" s="92" t="str">
        <f>IF(ISNA(VLOOKUP(Tableau13[[#This Row],[Code]],'Code Véhicule'!$A$4:$D$185,4,0))," ",VLOOKUP(Tableau13[[#This Row],[Code]],'Code Véhicule'!$A$4:$D$185,4,0))</f>
        <v>22299-A-73</v>
      </c>
      <c r="F1105" s="92"/>
      <c r="G1105" s="38" t="s">
        <v>523</v>
      </c>
      <c r="H1105" s="38" t="s">
        <v>2202</v>
      </c>
      <c r="I1105" s="36" t="s">
        <v>304</v>
      </c>
      <c r="J1105" s="39" t="s">
        <v>2203</v>
      </c>
      <c r="K1105" s="92"/>
      <c r="L1105" s="96">
        <v>240</v>
      </c>
      <c r="M1105" s="96">
        <v>240</v>
      </c>
      <c r="N1105" s="97">
        <v>45073</v>
      </c>
      <c r="O1105" s="98"/>
      <c r="P1105" s="98"/>
      <c r="Q1105" s="177" t="e">
        <f>MONTH([1]!Tableau13[[#This Row],[Date début]])</f>
        <v>#REF!</v>
      </c>
      <c r="R1105" s="181" t="e">
        <f>YEAR([1]!Tableau13[[#This Row],[Date début]])</f>
        <v>#REF!</v>
      </c>
      <c r="S1105" s="44"/>
      <c r="T1105" s="44"/>
    </row>
    <row r="1106" spans="1:20" s="75" customFormat="1" ht="30">
      <c r="A1106" s="91">
        <v>45073</v>
      </c>
      <c r="B1106" s="92">
        <v>480</v>
      </c>
      <c r="C1106" s="93" t="str">
        <f>IF(ISNA(VLOOKUP(Tableau13[[#This Row],[Code]],'Code Véhicule'!$A$4:$C$185,2,0)),"",VLOOKUP(Tableau13[[#This Row],[Code]],'Code Véhicule'!$A$4:$C$185,2,0))</f>
        <v>Camion</v>
      </c>
      <c r="D1106" s="94" t="str">
        <f>IF(ISNA(VLOOKUP(Tableau13[[#This Row],[Code]],'Code Véhicule'!$A$4:$C$185,3,0)),"",VLOOKUP(Tableau13[[#This Row],[Code]],'Code Véhicule'!$A$4:$C$185,3,0))</f>
        <v>VOLVO</v>
      </c>
      <c r="E1106" s="92" t="str">
        <f>IF(ISNA(VLOOKUP(Tableau13[[#This Row],[Code]],'Code Véhicule'!$A$4:$D$185,4,0))," ",VLOOKUP(Tableau13[[#This Row],[Code]],'Code Véhicule'!$A$4:$D$185,4,0))</f>
        <v>22299-A-73</v>
      </c>
      <c r="F1106" s="92"/>
      <c r="G1106" s="38" t="s">
        <v>481</v>
      </c>
      <c r="H1106" s="38" t="s">
        <v>2211</v>
      </c>
      <c r="I1106" s="36" t="s">
        <v>304</v>
      </c>
      <c r="J1106" s="39" t="s">
        <v>2212</v>
      </c>
      <c r="K1106" s="92"/>
      <c r="L1106" s="96">
        <v>240</v>
      </c>
      <c r="M1106" s="96">
        <v>240</v>
      </c>
      <c r="N1106" s="97">
        <v>45073</v>
      </c>
      <c r="O1106" s="98"/>
      <c r="P1106" s="98"/>
      <c r="Q1106" s="177" t="e">
        <f>MONTH([1]!Tableau13[[#This Row],[Date début]])</f>
        <v>#REF!</v>
      </c>
      <c r="R1106" s="181" t="e">
        <f>YEAR([1]!Tableau13[[#This Row],[Date début]])</f>
        <v>#REF!</v>
      </c>
      <c r="S1106" s="44"/>
      <c r="T1106" s="44"/>
    </row>
    <row r="1107" spans="1:20" s="75" customFormat="1" ht="23.25">
      <c r="A1107" s="91">
        <v>45073</v>
      </c>
      <c r="B1107" s="92">
        <v>407</v>
      </c>
      <c r="C1107" s="93" t="str">
        <f>IF(ISNA(VLOOKUP(Tableau13[[#This Row],[Code]],'Code Véhicule'!$A$4:$C$185,2,0)),"",VLOOKUP(Tableau13[[#This Row],[Code]],'Code Véhicule'!$A$4:$C$185,2,0))</f>
        <v>Semi remorque</v>
      </c>
      <c r="D1107" s="94" t="str">
        <f>IF(ISNA(VLOOKUP(Tableau13[[#This Row],[Code]],'Code Véhicule'!$A$4:$C$185,3,0)),"",VLOOKUP(Tableau13[[#This Row],[Code]],'Code Véhicule'!$A$4:$C$185,3,0))</f>
        <v>MAN</v>
      </c>
      <c r="E1107" s="92" t="str">
        <f>IF(ISNA(VLOOKUP(Tableau13[[#This Row],[Code]],'Code Véhicule'!$A$4:$D$185,4,0))," ",VLOOKUP(Tableau13[[#This Row],[Code]],'Code Véhicule'!$A$4:$D$185,4,0))</f>
        <v>706-A-73</v>
      </c>
      <c r="F1107" s="92"/>
      <c r="G1107" s="38" t="s">
        <v>542</v>
      </c>
      <c r="H1107" s="38" t="s">
        <v>2213</v>
      </c>
      <c r="I1107" s="36" t="s">
        <v>304</v>
      </c>
      <c r="J1107" s="39" t="s">
        <v>2214</v>
      </c>
      <c r="K1107" s="92"/>
      <c r="L1107" s="96">
        <v>120</v>
      </c>
      <c r="M1107" s="96">
        <v>120</v>
      </c>
      <c r="N1107" s="97">
        <v>45073</v>
      </c>
      <c r="O1107" s="98"/>
      <c r="P1107" s="98"/>
      <c r="Q1107" s="177" t="e">
        <f>MONTH([1]!Tableau13[[#This Row],[Date début]])</f>
        <v>#REF!</v>
      </c>
      <c r="R1107" s="181" t="e">
        <f>YEAR([1]!Tableau13[[#This Row],[Date début]])</f>
        <v>#REF!</v>
      </c>
      <c r="S1107" s="44"/>
      <c r="T1107" s="44"/>
    </row>
    <row r="1108" spans="1:20" s="75" customFormat="1" ht="30">
      <c r="A1108" s="91">
        <v>45073</v>
      </c>
      <c r="B1108" s="92">
        <v>480</v>
      </c>
      <c r="C1108" s="93" t="str">
        <f>IF(ISNA(VLOOKUP(Tableau13[[#This Row],[Code]],'Code Véhicule'!$A$4:$C$185,2,0)),"",VLOOKUP(Tableau13[[#This Row],[Code]],'Code Véhicule'!$A$4:$C$185,2,0))</f>
        <v>Camion</v>
      </c>
      <c r="D1108" s="94" t="str">
        <f>IF(ISNA(VLOOKUP(Tableau13[[#This Row],[Code]],'Code Véhicule'!$A$4:$C$185,3,0)),"",VLOOKUP(Tableau13[[#This Row],[Code]],'Code Véhicule'!$A$4:$C$185,3,0))</f>
        <v>VOLVO</v>
      </c>
      <c r="E1108" s="92" t="str">
        <f>IF(ISNA(VLOOKUP(Tableau13[[#This Row],[Code]],'Code Véhicule'!$A$4:$D$185,4,0))," ",VLOOKUP(Tableau13[[#This Row],[Code]],'Code Véhicule'!$A$4:$D$185,4,0))</f>
        <v>22299-A-73</v>
      </c>
      <c r="F1108" s="92"/>
      <c r="G1108" s="38" t="s">
        <v>2217</v>
      </c>
      <c r="H1108" s="38" t="s">
        <v>2211</v>
      </c>
      <c r="I1108" s="36" t="s">
        <v>304</v>
      </c>
      <c r="J1108" s="39" t="s">
        <v>2218</v>
      </c>
      <c r="K1108" s="92"/>
      <c r="L1108" s="96">
        <v>240</v>
      </c>
      <c r="M1108" s="96">
        <v>240</v>
      </c>
      <c r="N1108" s="97">
        <v>45073</v>
      </c>
      <c r="O1108" s="98"/>
      <c r="P1108" s="98"/>
      <c r="Q1108" s="177" t="e">
        <f>MONTH([1]!Tableau13[[#This Row],[Date début]])</f>
        <v>#REF!</v>
      </c>
      <c r="R1108" s="181" t="e">
        <f>YEAR([1]!Tableau13[[#This Row],[Date début]])</f>
        <v>#REF!</v>
      </c>
      <c r="S1108" s="44"/>
      <c r="T1108" s="44"/>
    </row>
    <row r="1109" spans="1:20" s="75" customFormat="1" ht="23.25">
      <c r="A1109" s="91">
        <v>45073</v>
      </c>
      <c r="B1109" s="92">
        <v>430</v>
      </c>
      <c r="C1109" s="93" t="str">
        <f>IF(ISNA(VLOOKUP(Tableau13[[#This Row],[Code]],'Code Véhicule'!$A$4:$C$185,2,0)),"",VLOOKUP(Tableau13[[#This Row],[Code]],'Code Véhicule'!$A$4:$C$185,2,0))</f>
        <v>Chariot elevateur</v>
      </c>
      <c r="D1109" s="94" t="str">
        <f>IF(ISNA(VLOOKUP(Tableau13[[#This Row],[Code]],'Code Véhicule'!$A$4:$C$185,3,0)),"",VLOOKUP(Tableau13[[#This Row],[Code]],'Code Véhicule'!$A$4:$C$185,3,0))</f>
        <v>Fenwick  H40</v>
      </c>
      <c r="E1109" s="92" t="str">
        <f>IF(ISNA(VLOOKUP(Tableau13[[#This Row],[Code]],'Code Véhicule'!$A$4:$D$185,4,0))," ",VLOOKUP(Tableau13[[#This Row],[Code]],'Code Véhicule'!$A$4:$D$185,4,0))</f>
        <v>-</v>
      </c>
      <c r="F1109" s="92"/>
      <c r="G1109" s="38" t="s">
        <v>560</v>
      </c>
      <c r="H1109" s="38" t="s">
        <v>604</v>
      </c>
      <c r="I1109" s="36" t="s">
        <v>304</v>
      </c>
      <c r="J1109" s="39" t="s">
        <v>530</v>
      </c>
      <c r="K1109" s="92"/>
      <c r="L1109" s="96">
        <v>120</v>
      </c>
      <c r="M1109" s="96">
        <v>120</v>
      </c>
      <c r="N1109" s="97">
        <v>45073</v>
      </c>
      <c r="O1109" s="98"/>
      <c r="P1109" s="98"/>
      <c r="Q1109" s="177" t="e">
        <f>MONTH([1]!Tableau13[[#This Row],[Date début]])</f>
        <v>#REF!</v>
      </c>
      <c r="R1109" s="181" t="e">
        <f>YEAR([1]!Tableau13[[#This Row],[Date début]])</f>
        <v>#REF!</v>
      </c>
      <c r="S1109" s="44"/>
      <c r="T1109" s="44"/>
    </row>
    <row r="1110" spans="1:20" s="75" customFormat="1" ht="23.25">
      <c r="A1110" s="91">
        <v>45073</v>
      </c>
      <c r="B1110" s="92">
        <v>407</v>
      </c>
      <c r="C1110" s="93" t="str">
        <f>IF(ISNA(VLOOKUP(Tableau13[[#This Row],[Code]],'Code Véhicule'!$A$4:$C$185,2,0)),"",VLOOKUP(Tableau13[[#This Row],[Code]],'Code Véhicule'!$A$4:$C$185,2,0))</f>
        <v>Semi remorque</v>
      </c>
      <c r="D1110" s="94" t="str">
        <f>IF(ISNA(VLOOKUP(Tableau13[[#This Row],[Code]],'Code Véhicule'!$A$4:$C$185,3,0)),"",VLOOKUP(Tableau13[[#This Row],[Code]],'Code Véhicule'!$A$4:$C$185,3,0))</f>
        <v>MAN</v>
      </c>
      <c r="E1110" s="92" t="str">
        <f>IF(ISNA(VLOOKUP(Tableau13[[#This Row],[Code]],'Code Véhicule'!$A$4:$D$185,4,0))," ",VLOOKUP(Tableau13[[#This Row],[Code]],'Code Véhicule'!$A$4:$D$185,4,0))</f>
        <v>706-A-73</v>
      </c>
      <c r="F1110" s="92"/>
      <c r="G1110" s="38" t="s">
        <v>2219</v>
      </c>
      <c r="H1110" s="38" t="s">
        <v>2220</v>
      </c>
      <c r="I1110" s="36" t="s">
        <v>304</v>
      </c>
      <c r="J1110" s="39" t="s">
        <v>553</v>
      </c>
      <c r="K1110" s="92"/>
      <c r="L1110" s="96">
        <v>120</v>
      </c>
      <c r="M1110" s="96">
        <v>120</v>
      </c>
      <c r="N1110" s="97">
        <v>45073</v>
      </c>
      <c r="O1110" s="98"/>
      <c r="P1110" s="98"/>
      <c r="Q1110" s="177" t="e">
        <f>MONTH([1]!Tableau13[[#This Row],[Date début]])</f>
        <v>#REF!</v>
      </c>
      <c r="R1110" s="181" t="e">
        <f>YEAR([1]!Tableau13[[#This Row],[Date début]])</f>
        <v>#REF!</v>
      </c>
      <c r="S1110" s="44"/>
      <c r="T1110" s="44"/>
    </row>
    <row r="1111" spans="1:20" s="75" customFormat="1" ht="23.25">
      <c r="A1111" s="35">
        <v>45074</v>
      </c>
      <c r="B1111" s="92">
        <v>401</v>
      </c>
      <c r="C1111" s="93" t="str">
        <f>IF(ISNA(VLOOKUP(Tableau13[[#This Row],[Code]],'Code Véhicule'!$A$4:$C$185,2,0)),"",VLOOKUP(Tableau13[[#This Row],[Code]],'Code Véhicule'!$A$4:$C$185,2,0))</f>
        <v>Camion</v>
      </c>
      <c r="D1111" s="94" t="str">
        <f>IF(ISNA(VLOOKUP(Tableau13[[#This Row],[Code]],'Code Véhicule'!$A$4:$C$185,3,0)),"",VLOOKUP(Tableau13[[#This Row],[Code]],'Code Véhicule'!$A$4:$C$185,3,0))</f>
        <v>ISUZU</v>
      </c>
      <c r="E1111" s="92" t="str">
        <f>IF(ISNA(VLOOKUP(Tableau13[[#This Row],[Code]],'Code Véhicule'!$A$4:$D$185,4,0))," ",VLOOKUP(Tableau13[[#This Row],[Code]],'Code Véhicule'!$A$4:$D$185,4,0))</f>
        <v>26128-A-8</v>
      </c>
      <c r="F1111" s="92"/>
      <c r="G1111" s="38" t="s">
        <v>327</v>
      </c>
      <c r="H1111" s="38" t="s">
        <v>1084</v>
      </c>
      <c r="I1111" s="36" t="s">
        <v>304</v>
      </c>
      <c r="J1111" s="39" t="s">
        <v>2207</v>
      </c>
      <c r="K1111" s="92"/>
      <c r="L1111" s="96">
        <v>570</v>
      </c>
      <c r="M1111" s="96">
        <v>570</v>
      </c>
      <c r="N1111" s="97">
        <v>45074</v>
      </c>
      <c r="O1111" s="98"/>
      <c r="P1111" s="98"/>
      <c r="Q1111" s="177" t="e">
        <f>MONTH([1]!Tableau13[[#This Row],[Date début]])</f>
        <v>#REF!</v>
      </c>
      <c r="R1111" s="181" t="e">
        <f>YEAR([1]!Tableau13[[#This Row],[Date début]])</f>
        <v>#REF!</v>
      </c>
      <c r="S1111" s="44"/>
      <c r="T1111" s="44"/>
    </row>
    <row r="1112" spans="1:20" s="75" customFormat="1" ht="23.25">
      <c r="A1112" s="91">
        <v>45074</v>
      </c>
      <c r="B1112" s="92">
        <v>420</v>
      </c>
      <c r="C1112" s="93" t="str">
        <f>IF(ISNA(VLOOKUP(Tableau13[[#This Row],[Code]],'Code Véhicule'!$A$4:$C$185,2,0)),"",VLOOKUP(Tableau13[[#This Row],[Code]],'Code Véhicule'!$A$4:$C$185,2,0))</f>
        <v>Chariot elevateur</v>
      </c>
      <c r="D1112" s="94" t="str">
        <f>IF(ISNA(VLOOKUP(Tableau13[[#This Row],[Code]],'Code Véhicule'!$A$4:$C$185,3,0)),"",VLOOKUP(Tableau13[[#This Row],[Code]],'Code Véhicule'!$A$4:$C$185,3,0))</f>
        <v>linde h 45</v>
      </c>
      <c r="E1112" s="92">
        <f>IF(ISNA(VLOOKUP(Tableau13[[#This Row],[Code]],'Code Véhicule'!$A$4:$D$185,4,0))," ",VLOOKUP(Tableau13[[#This Row],[Code]],'Code Véhicule'!$A$4:$D$185,4,0))</f>
        <v>0</v>
      </c>
      <c r="F1112" s="92"/>
      <c r="G1112" s="38" t="s">
        <v>393</v>
      </c>
      <c r="H1112" s="38" t="s">
        <v>613</v>
      </c>
      <c r="I1112" s="36" t="s">
        <v>302</v>
      </c>
      <c r="J1112" s="39" t="s">
        <v>342</v>
      </c>
      <c r="K1112" s="36"/>
      <c r="L1112" s="96">
        <v>60</v>
      </c>
      <c r="M1112" s="96">
        <v>60</v>
      </c>
      <c r="N1112" s="97"/>
      <c r="O1112" s="98"/>
      <c r="P1112" s="98"/>
      <c r="Q1112" s="177" t="e">
        <f>MONTH([1]!Tableau13[[#This Row],[Date début]])</f>
        <v>#REF!</v>
      </c>
      <c r="R1112" s="181" t="e">
        <f>YEAR([1]!Tableau13[[#This Row],[Date début]])</f>
        <v>#REF!</v>
      </c>
      <c r="S1112" s="44"/>
      <c r="T1112" s="44"/>
    </row>
    <row r="1113" spans="1:20" s="75" customFormat="1" ht="45">
      <c r="A1113" s="91">
        <v>45076</v>
      </c>
      <c r="B1113" s="92">
        <v>411</v>
      </c>
      <c r="C1113" s="93" t="str">
        <f>IF(ISNA(VLOOKUP(Tableau13[[#This Row],[Code]],'Code Véhicule'!$A$4:$C$185,2,0)),"",VLOOKUP(Tableau13[[#This Row],[Code]],'Code Véhicule'!$A$4:$C$185,2,0))</f>
        <v>Camion</v>
      </c>
      <c r="D1113" s="94" t="str">
        <f>IF(ISNA(VLOOKUP(Tableau13[[#This Row],[Code]],'Code Véhicule'!$A$4:$C$185,3,0)),"",VLOOKUP(Tableau13[[#This Row],[Code]],'Code Véhicule'!$A$4:$C$185,3,0))</f>
        <v>Renault</v>
      </c>
      <c r="E1113" s="92" t="str">
        <f>IF(ISNA(VLOOKUP(Tableau13[[#This Row],[Code]],'Code Véhicule'!$A$4:$D$185,4,0))," ",VLOOKUP(Tableau13[[#This Row],[Code]],'Code Véhicule'!$A$4:$D$185,4,0))</f>
        <v>25636-A-13</v>
      </c>
      <c r="F1113" s="92"/>
      <c r="G1113" s="38" t="s">
        <v>393</v>
      </c>
      <c r="H1113" s="38" t="s">
        <v>2186</v>
      </c>
      <c r="I1113" s="36" t="s">
        <v>302</v>
      </c>
      <c r="J1113" s="39" t="s">
        <v>2221</v>
      </c>
      <c r="K1113" s="92"/>
      <c r="L1113" s="96">
        <v>120</v>
      </c>
      <c r="M1113" s="96">
        <v>120</v>
      </c>
      <c r="N1113" s="97">
        <v>45076</v>
      </c>
      <c r="O1113" s="98"/>
      <c r="P1113" s="98"/>
      <c r="Q1113" s="177" t="e">
        <f>MONTH([1]!Tableau13[[#This Row],[Date début]])</f>
        <v>#REF!</v>
      </c>
      <c r="R1113" s="181" t="e">
        <f>YEAR([1]!Tableau13[[#This Row],[Date début]])</f>
        <v>#REF!</v>
      </c>
      <c r="S1113" s="44"/>
      <c r="T1113" s="44"/>
    </row>
    <row r="1114" spans="1:20" s="75" customFormat="1" ht="23.25">
      <c r="A1114" s="91">
        <v>45080</v>
      </c>
      <c r="B1114" s="92">
        <v>410</v>
      </c>
      <c r="C1114" s="93" t="str">
        <f>IF(ISNA(VLOOKUP(Tableau13[[#This Row],[Code]],'Code Véhicule'!$A$4:$C$185,2,0)),"",VLOOKUP(Tableau13[[#This Row],[Code]],'Code Véhicule'!$A$4:$C$185,2,0))</f>
        <v>Semi remorque</v>
      </c>
      <c r="D1114" s="94" t="str">
        <f>IF(ISNA(VLOOKUP(Tableau13[[#This Row],[Code]],'Code Véhicule'!$A$4:$C$185,3,0)),"",VLOOKUP(Tableau13[[#This Row],[Code]],'Code Véhicule'!$A$4:$C$185,3,0))</f>
        <v>MAN</v>
      </c>
      <c r="E1114" s="92" t="str">
        <f>IF(ISNA(VLOOKUP(Tableau13[[#This Row],[Code]],'Code Véhicule'!$A$4:$D$185,4,0))," ",VLOOKUP(Tableau13[[#This Row],[Code]],'Code Véhicule'!$A$4:$D$185,4,0))</f>
        <v xml:space="preserve">28659-D-1 </v>
      </c>
      <c r="F1114" s="92"/>
      <c r="G1114" s="38" t="s">
        <v>560</v>
      </c>
      <c r="H1114" s="38" t="s">
        <v>604</v>
      </c>
      <c r="I1114" s="36" t="s">
        <v>304</v>
      </c>
      <c r="J1114" s="39" t="s">
        <v>530</v>
      </c>
      <c r="K1114" s="92"/>
      <c r="L1114" s="96">
        <v>240</v>
      </c>
      <c r="M1114" s="96">
        <v>240</v>
      </c>
      <c r="N1114" s="97">
        <v>45079</v>
      </c>
      <c r="O1114" s="98"/>
      <c r="P1114" s="98"/>
      <c r="Q1114" s="177" t="e">
        <f>MONTH([1]!Tableau13[[#This Row],[Date début]])</f>
        <v>#REF!</v>
      </c>
      <c r="R1114" s="181" t="e">
        <f>YEAR([1]!Tableau13[[#This Row],[Date début]])</f>
        <v>#REF!</v>
      </c>
      <c r="S1114" s="44"/>
      <c r="T1114" s="44"/>
    </row>
    <row r="1115" spans="1:20" s="75" customFormat="1" ht="30">
      <c r="A1115" s="91">
        <v>45081</v>
      </c>
      <c r="B1115" s="92">
        <v>413</v>
      </c>
      <c r="C1115" s="93" t="str">
        <f>IF(ISNA(VLOOKUP(Tableau13[[#This Row],[Code]],'Code Véhicule'!$A$4:$C$185,2,0)),"",VLOOKUP(Tableau13[[#This Row],[Code]],'Code Véhicule'!$A$4:$C$185,2,0))</f>
        <v>Chargeur</v>
      </c>
      <c r="D1115" s="94" t="str">
        <f>IF(ISNA(VLOOKUP(Tableau13[[#This Row],[Code]],'Code Véhicule'!$A$4:$C$185,3,0)),"",VLOOKUP(Tableau13[[#This Row],[Code]],'Code Véhicule'!$A$4:$C$185,3,0))</f>
        <v>Caterpillar</v>
      </c>
      <c r="E1115" s="92" t="str">
        <f>IF(ISNA(VLOOKUP(Tableau13[[#This Row],[Code]],'Code Véhicule'!$A$4:$D$185,4,0))," ",VLOOKUP(Tableau13[[#This Row],[Code]],'Code Véhicule'!$A$4:$D$185,4,0))</f>
        <v>-</v>
      </c>
      <c r="F1115" s="92"/>
      <c r="G1115" s="38" t="s">
        <v>2204</v>
      </c>
      <c r="H1115" s="38" t="s">
        <v>635</v>
      </c>
      <c r="I1115" s="36" t="s">
        <v>304</v>
      </c>
      <c r="J1115" s="39" t="s">
        <v>2205</v>
      </c>
      <c r="K1115" s="92"/>
      <c r="L1115" s="96">
        <v>420</v>
      </c>
      <c r="M1115" s="96">
        <v>420</v>
      </c>
      <c r="N1115" s="97">
        <v>45082</v>
      </c>
      <c r="O1115" s="98"/>
      <c r="P1115" s="98"/>
      <c r="Q1115" s="177" t="e">
        <f>MONTH([1]!Tableau13[[#This Row],[Date début]])</f>
        <v>#REF!</v>
      </c>
      <c r="R1115" s="181" t="e">
        <f>YEAR([1]!Tableau13[[#This Row],[Date début]])</f>
        <v>#REF!</v>
      </c>
      <c r="S1115" s="44"/>
      <c r="T1115" s="44"/>
    </row>
    <row r="1116" spans="1:20" s="75" customFormat="1" ht="30">
      <c r="A1116" s="91">
        <v>45082</v>
      </c>
      <c r="B1116" s="92">
        <v>480</v>
      </c>
      <c r="C1116" s="93" t="str">
        <f>IF(ISNA(VLOOKUP(Tableau13[[#This Row],[Code]],'Code Véhicule'!$A$4:$C$185,2,0)),"",VLOOKUP(Tableau13[[#This Row],[Code]],'Code Véhicule'!$A$4:$C$185,2,0))</f>
        <v>Camion</v>
      </c>
      <c r="D1116" s="94" t="str">
        <f>IF(ISNA(VLOOKUP(Tableau13[[#This Row],[Code]],'Code Véhicule'!$A$4:$C$185,3,0)),"",VLOOKUP(Tableau13[[#This Row],[Code]],'Code Véhicule'!$A$4:$C$185,3,0))</f>
        <v>VOLVO</v>
      </c>
      <c r="E1116" s="92" t="str">
        <f>IF(ISNA(VLOOKUP(Tableau13[[#This Row],[Code]],'Code Véhicule'!$A$4:$D$185,4,0))," ",VLOOKUP(Tableau13[[#This Row],[Code]],'Code Véhicule'!$A$4:$D$185,4,0))</f>
        <v>22299-A-73</v>
      </c>
      <c r="F1116" s="92"/>
      <c r="G1116" s="38" t="s">
        <v>1013</v>
      </c>
      <c r="H1116" s="38" t="s">
        <v>2222</v>
      </c>
      <c r="I1116" s="36" t="s">
        <v>304</v>
      </c>
      <c r="J1116" s="39" t="s">
        <v>2223</v>
      </c>
      <c r="K1116" s="92"/>
      <c r="L1116" s="96">
        <v>1140</v>
      </c>
      <c r="M1116" s="96">
        <v>1140</v>
      </c>
      <c r="N1116" s="41">
        <v>45084</v>
      </c>
      <c r="O1116" s="98"/>
      <c r="P1116" s="98"/>
      <c r="Q1116" s="177" t="e">
        <f>MONTH([1]!Tableau13[[#This Row],[Date début]])</f>
        <v>#REF!</v>
      </c>
      <c r="R1116" s="181" t="e">
        <f>YEAR([1]!Tableau13[[#This Row],[Date début]])</f>
        <v>#REF!</v>
      </c>
      <c r="S1116" s="44"/>
      <c r="T1116" s="44"/>
    </row>
    <row r="1117" spans="1:20" s="75" customFormat="1" ht="23.25">
      <c r="A1117" s="91">
        <v>45082</v>
      </c>
      <c r="B1117" s="92">
        <v>438</v>
      </c>
      <c r="C1117" s="93" t="str">
        <f>IF(ISNA(VLOOKUP(Tableau13[[#This Row],[Code]],'Code Véhicule'!$A$4:$C$185,2,0)),"",VLOOKUP(Tableau13[[#This Row],[Code]],'Code Véhicule'!$A$4:$C$185,2,0))</f>
        <v>Semi remorque</v>
      </c>
      <c r="D1117" s="94" t="str">
        <f>IF(ISNA(VLOOKUP(Tableau13[[#This Row],[Code]],'Code Véhicule'!$A$4:$C$185,3,0)),"",VLOOKUP(Tableau13[[#This Row],[Code]],'Code Véhicule'!$A$4:$C$185,3,0))</f>
        <v>VOLVO</v>
      </c>
      <c r="E1117" s="92" t="str">
        <f>IF(ISNA(VLOOKUP(Tableau13[[#This Row],[Code]],'Code Véhicule'!$A$4:$D$185,4,0))," ",VLOOKUP(Tableau13[[#This Row],[Code]],'Code Véhicule'!$A$4:$D$185,4,0))</f>
        <v xml:space="preserve">17885-A-73 </v>
      </c>
      <c r="F1117" s="92"/>
      <c r="G1117" s="38" t="s">
        <v>523</v>
      </c>
      <c r="H1117" s="38" t="s">
        <v>2224</v>
      </c>
      <c r="I1117" s="36" t="s">
        <v>304</v>
      </c>
      <c r="J1117" s="39" t="s">
        <v>2225</v>
      </c>
      <c r="K1117" s="92"/>
      <c r="L1117" s="96">
        <v>240</v>
      </c>
      <c r="M1117" s="96">
        <v>240</v>
      </c>
      <c r="N1117" s="97">
        <v>45083</v>
      </c>
      <c r="O1117" s="98"/>
      <c r="P1117" s="98"/>
      <c r="Q1117" s="177" t="e">
        <f>MONTH([1]!Tableau13[[#This Row],[Date début]])</f>
        <v>#REF!</v>
      </c>
      <c r="R1117" s="181" t="e">
        <f>YEAR([1]!Tableau13[[#This Row],[Date début]])</f>
        <v>#REF!</v>
      </c>
      <c r="S1117" s="44"/>
      <c r="T1117" s="44"/>
    </row>
    <row r="1118" spans="1:20" s="75" customFormat="1" ht="60">
      <c r="A1118" s="91">
        <v>45082</v>
      </c>
      <c r="B1118" s="92">
        <v>410</v>
      </c>
      <c r="C1118" s="93" t="str">
        <f>IF(ISNA(VLOOKUP(Tableau13[[#This Row],[Code]],'Code Véhicule'!$A$4:$C$185,2,0)),"",VLOOKUP(Tableau13[[#This Row],[Code]],'Code Véhicule'!$A$4:$C$185,2,0))</f>
        <v>Semi remorque</v>
      </c>
      <c r="D1118" s="94" t="str">
        <f>IF(ISNA(VLOOKUP(Tableau13[[#This Row],[Code]],'Code Véhicule'!$A$4:$C$185,3,0)),"",VLOOKUP(Tableau13[[#This Row],[Code]],'Code Véhicule'!$A$4:$C$185,3,0))</f>
        <v>MAN</v>
      </c>
      <c r="E1118" s="92" t="str">
        <f>IF(ISNA(VLOOKUP(Tableau13[[#This Row],[Code]],'Code Véhicule'!$A$4:$D$185,4,0))," ",VLOOKUP(Tableau13[[#This Row],[Code]],'Code Véhicule'!$A$4:$D$185,4,0))</f>
        <v xml:space="preserve">28659-D-1 </v>
      </c>
      <c r="F1118" s="92"/>
      <c r="G1118" s="38" t="s">
        <v>334</v>
      </c>
      <c r="H1118" s="38" t="s">
        <v>2202</v>
      </c>
      <c r="I1118" s="36" t="s">
        <v>304</v>
      </c>
      <c r="J1118" s="39" t="s">
        <v>2226</v>
      </c>
      <c r="K1118" s="92"/>
      <c r="L1118" s="96">
        <v>570</v>
      </c>
      <c r="M1118" s="96">
        <v>570</v>
      </c>
      <c r="N1118" s="97">
        <v>45082</v>
      </c>
      <c r="O1118" s="98"/>
      <c r="P1118" s="98"/>
      <c r="Q1118" s="177" t="e">
        <f>MONTH([1]!Tableau13[[#This Row],[Date début]])</f>
        <v>#REF!</v>
      </c>
      <c r="R1118" s="181" t="e">
        <f>YEAR([1]!Tableau13[[#This Row],[Date début]])</f>
        <v>#REF!</v>
      </c>
      <c r="S1118" s="44"/>
      <c r="T1118" s="44"/>
    </row>
    <row r="1119" spans="1:20" s="75" customFormat="1" ht="23.25">
      <c r="A1119" s="91">
        <v>45082</v>
      </c>
      <c r="B1119" s="92">
        <v>486</v>
      </c>
      <c r="C1119" s="37" t="s">
        <v>2228</v>
      </c>
      <c r="D1119" s="94" t="str">
        <f>IF(ISNA(VLOOKUP(Tableau13[[#This Row],[Code]],'Code Véhicule'!$A$4:$C$185,3,0)),"",VLOOKUP(Tableau13[[#This Row],[Code]],'Code Véhicule'!$A$4:$C$185,3,0))</f>
        <v/>
      </c>
      <c r="E1119" s="92" t="str">
        <f>IF(ISNA(VLOOKUP(Tableau13[[#This Row],[Code]],'Code Véhicule'!$A$4:$D$185,4,0))," ",VLOOKUP(Tableau13[[#This Row],[Code]],'Code Véhicule'!$A$4:$D$185,4,0))</f>
        <v xml:space="preserve"> </v>
      </c>
      <c r="F1119" s="92"/>
      <c r="G1119" s="38" t="s">
        <v>2227</v>
      </c>
      <c r="H1119" s="38" t="s">
        <v>2229</v>
      </c>
      <c r="I1119" s="36" t="s">
        <v>304</v>
      </c>
      <c r="J1119" s="39" t="s">
        <v>2230</v>
      </c>
      <c r="K1119" s="92"/>
      <c r="L1119" s="96">
        <v>570</v>
      </c>
      <c r="M1119" s="96">
        <v>570</v>
      </c>
      <c r="N1119" s="97">
        <v>45083</v>
      </c>
      <c r="O1119" s="98"/>
      <c r="P1119" s="98"/>
      <c r="Q1119" s="177" t="e">
        <f>MONTH([1]!Tableau13[[#This Row],[Date début]])</f>
        <v>#REF!</v>
      </c>
      <c r="R1119" s="181" t="e">
        <f>YEAR([1]!Tableau13[[#This Row],[Date début]])</f>
        <v>#REF!</v>
      </c>
      <c r="S1119" s="44"/>
      <c r="T1119" s="44"/>
    </row>
    <row r="1120" spans="1:20" s="75" customFormat="1" ht="23.25">
      <c r="A1120" s="91">
        <v>45083</v>
      </c>
      <c r="B1120" s="92">
        <v>427</v>
      </c>
      <c r="C1120" s="93" t="str">
        <f>IF(ISNA(VLOOKUP(Tableau13[[#This Row],[Code]],'Code Véhicule'!$A$4:$C$185,2,0)),"",VLOOKUP(Tableau13[[#This Row],[Code]],'Code Véhicule'!$A$4:$C$185,2,0))</f>
        <v>Chariot elevateur</v>
      </c>
      <c r="D1120" s="94" t="str">
        <f>IF(ISNA(VLOOKUP(Tableau13[[#This Row],[Code]],'Code Véhicule'!$A$4:$C$185,3,0)),"",VLOOKUP(Tableau13[[#This Row],[Code]],'Code Véhicule'!$A$4:$C$185,3,0))</f>
        <v>Linde H30</v>
      </c>
      <c r="E1120" s="92" t="str">
        <f>IF(ISNA(VLOOKUP(Tableau13[[#This Row],[Code]],'Code Véhicule'!$A$4:$D$185,4,0))," ",VLOOKUP(Tableau13[[#This Row],[Code]],'Code Véhicule'!$A$4:$D$185,4,0))</f>
        <v>-</v>
      </c>
      <c r="F1120" s="92"/>
      <c r="G1120" s="38" t="s">
        <v>393</v>
      </c>
      <c r="H1120" s="38" t="s">
        <v>608</v>
      </c>
      <c r="I1120" s="36" t="s">
        <v>304</v>
      </c>
      <c r="J1120" s="39" t="s">
        <v>2231</v>
      </c>
      <c r="K1120" s="92"/>
      <c r="L1120" s="96">
        <v>240</v>
      </c>
      <c r="M1120" s="96">
        <v>240</v>
      </c>
      <c r="N1120" s="97">
        <v>45083</v>
      </c>
      <c r="O1120" s="98"/>
      <c r="P1120" s="98"/>
      <c r="Q1120" s="177" t="e">
        <f>MONTH([1]!Tableau13[[#This Row],[Date début]])</f>
        <v>#REF!</v>
      </c>
      <c r="R1120" s="181" t="e">
        <f>YEAR([1]!Tableau13[[#This Row],[Date début]])</f>
        <v>#REF!</v>
      </c>
      <c r="S1120" s="44"/>
      <c r="T1120" s="44"/>
    </row>
    <row r="1121" spans="1:20" s="75" customFormat="1" ht="30">
      <c r="A1121" s="91">
        <v>45084</v>
      </c>
      <c r="B1121" s="92">
        <v>410</v>
      </c>
      <c r="C1121" s="93" t="str">
        <f>IF(ISNA(VLOOKUP(Tableau13[[#This Row],[Code]],'Code Véhicule'!$A$4:$C$185,2,0)),"",VLOOKUP(Tableau13[[#This Row],[Code]],'Code Véhicule'!$A$4:$C$185,2,0))</f>
        <v>Semi remorque</v>
      </c>
      <c r="D1121" s="94" t="str">
        <f>IF(ISNA(VLOOKUP(Tableau13[[#This Row],[Code]],'Code Véhicule'!$A$4:$C$185,3,0)),"",VLOOKUP(Tableau13[[#This Row],[Code]],'Code Véhicule'!$A$4:$C$185,3,0))</f>
        <v>MAN</v>
      </c>
      <c r="E1121" s="92" t="str">
        <f>IF(ISNA(VLOOKUP(Tableau13[[#This Row],[Code]],'Code Véhicule'!$A$4:$D$185,4,0))," ",VLOOKUP(Tableau13[[#This Row],[Code]],'Code Véhicule'!$A$4:$D$185,4,0))</f>
        <v xml:space="preserve">28659-D-1 </v>
      </c>
      <c r="F1121" s="92"/>
      <c r="G1121" s="38" t="s">
        <v>393</v>
      </c>
      <c r="H1121" s="38" t="s">
        <v>2232</v>
      </c>
      <c r="I1121" s="36" t="s">
        <v>304</v>
      </c>
      <c r="J1121" s="39" t="s">
        <v>2233</v>
      </c>
      <c r="K1121" s="92"/>
      <c r="L1121" s="96">
        <v>240</v>
      </c>
      <c r="M1121" s="96">
        <v>240</v>
      </c>
      <c r="N1121" s="97">
        <v>45084</v>
      </c>
      <c r="O1121" s="98"/>
      <c r="P1121" s="98"/>
      <c r="Q1121" s="177" t="e">
        <f>MONTH([1]!Tableau13[[#This Row],[Date début]])</f>
        <v>#REF!</v>
      </c>
      <c r="R1121" s="181" t="e">
        <f>YEAR([1]!Tableau13[[#This Row],[Date début]])</f>
        <v>#REF!</v>
      </c>
      <c r="S1121" s="44"/>
      <c r="T1121" s="44"/>
    </row>
    <row r="1122" spans="1:20" s="75" customFormat="1" ht="23.25">
      <c r="A1122" s="91">
        <v>45084</v>
      </c>
      <c r="B1122" s="92">
        <v>427</v>
      </c>
      <c r="C1122" s="93" t="str">
        <f>IF(ISNA(VLOOKUP(Tableau13[[#This Row],[Code]],'Code Véhicule'!$A$4:$C$185,2,0)),"",VLOOKUP(Tableau13[[#This Row],[Code]],'Code Véhicule'!$A$4:$C$185,2,0))</f>
        <v>Chariot elevateur</v>
      </c>
      <c r="D1122" s="94" t="str">
        <f>IF(ISNA(VLOOKUP(Tableau13[[#This Row],[Code]],'Code Véhicule'!$A$4:$C$185,3,0)),"",VLOOKUP(Tableau13[[#This Row],[Code]],'Code Véhicule'!$A$4:$C$185,3,0))</f>
        <v>Linde H30</v>
      </c>
      <c r="E1122" s="92" t="str">
        <f>IF(ISNA(VLOOKUP(Tableau13[[#This Row],[Code]],'Code Véhicule'!$A$4:$D$185,4,0))," ",VLOOKUP(Tableau13[[#This Row],[Code]],'Code Véhicule'!$A$4:$D$185,4,0))</f>
        <v>-</v>
      </c>
      <c r="F1122" s="92"/>
      <c r="G1122" s="38" t="s">
        <v>619</v>
      </c>
      <c r="H1122" s="38" t="s">
        <v>1071</v>
      </c>
      <c r="I1122" s="36" t="s">
        <v>304</v>
      </c>
      <c r="J1122" s="39" t="s">
        <v>2234</v>
      </c>
      <c r="K1122" s="92"/>
      <c r="L1122" s="96">
        <v>60</v>
      </c>
      <c r="M1122" s="96">
        <v>60</v>
      </c>
      <c r="N1122" s="41">
        <v>45084</v>
      </c>
      <c r="O1122" s="98"/>
      <c r="P1122" s="98"/>
      <c r="Q1122" s="177" t="e">
        <f>MONTH([1]!Tableau13[[#This Row],[Date début]])</f>
        <v>#REF!</v>
      </c>
      <c r="R1122" s="181" t="e">
        <f>YEAR([1]!Tableau13[[#This Row],[Date début]])</f>
        <v>#REF!</v>
      </c>
      <c r="S1122" s="44"/>
      <c r="T1122" s="44"/>
    </row>
    <row r="1123" spans="1:20" s="75" customFormat="1" ht="23.25">
      <c r="A1123" s="35">
        <v>45085</v>
      </c>
      <c r="B1123" s="92">
        <v>430</v>
      </c>
      <c r="C1123" s="93" t="str">
        <f>IF(ISNA(VLOOKUP(Tableau13[[#This Row],[Code]],'Code Véhicule'!$A$4:$C$185,2,0)),"",VLOOKUP(Tableau13[[#This Row],[Code]],'Code Véhicule'!$A$4:$C$185,2,0))</f>
        <v>Chariot elevateur</v>
      </c>
      <c r="D1123" s="94" t="str">
        <f>IF(ISNA(VLOOKUP(Tableau13[[#This Row],[Code]],'Code Véhicule'!$A$4:$C$185,3,0)),"",VLOOKUP(Tableau13[[#This Row],[Code]],'Code Véhicule'!$A$4:$C$185,3,0))</f>
        <v>Fenwick  H40</v>
      </c>
      <c r="E1123" s="92" t="str">
        <f>IF(ISNA(VLOOKUP(Tableau13[[#This Row],[Code]],'Code Véhicule'!$A$4:$D$185,4,0))," ",VLOOKUP(Tableau13[[#This Row],[Code]],'Code Véhicule'!$A$4:$D$185,4,0))</f>
        <v>-</v>
      </c>
      <c r="F1123" s="92"/>
      <c r="G1123" s="38" t="s">
        <v>2235</v>
      </c>
      <c r="H1123" s="38" t="s">
        <v>652</v>
      </c>
      <c r="I1123" s="36" t="s">
        <v>304</v>
      </c>
      <c r="J1123" s="39" t="s">
        <v>2087</v>
      </c>
      <c r="K1123" s="92"/>
      <c r="L1123" s="96">
        <v>60</v>
      </c>
      <c r="M1123" s="96">
        <v>60</v>
      </c>
      <c r="N1123" s="97">
        <v>45085</v>
      </c>
      <c r="O1123" s="98"/>
      <c r="P1123" s="98"/>
      <c r="Q1123" s="177" t="e">
        <f>MONTH([1]!Tableau13[[#This Row],[Date début]])</f>
        <v>#REF!</v>
      </c>
      <c r="R1123" s="181" t="e">
        <f>YEAR([1]!Tableau13[[#This Row],[Date début]])</f>
        <v>#REF!</v>
      </c>
      <c r="S1123" s="44"/>
      <c r="T1123" s="44"/>
    </row>
    <row r="1124" spans="1:20" s="75" customFormat="1" ht="45">
      <c r="A1124" s="91">
        <v>45086</v>
      </c>
      <c r="B1124" s="92">
        <v>435</v>
      </c>
      <c r="C1124" s="93" t="str">
        <f>IF(ISNA(VLOOKUP(Tableau13[[#This Row],[Code]],'Code Véhicule'!$A$4:$C$185,2,0)),"",VLOOKUP(Tableau13[[#This Row],[Code]],'Code Véhicule'!$A$4:$C$185,2,0))</f>
        <v>Camion</v>
      </c>
      <c r="D1124" s="94" t="str">
        <f>IF(ISNA(VLOOKUP(Tableau13[[#This Row],[Code]],'Code Véhicule'!$A$4:$C$185,3,0)),"",VLOOKUP(Tableau13[[#This Row],[Code]],'Code Véhicule'!$A$4:$C$185,3,0))</f>
        <v>Mitsubishi</v>
      </c>
      <c r="E1124" s="92" t="str">
        <f>IF(ISNA(VLOOKUP(Tableau13[[#This Row],[Code]],'Code Véhicule'!$A$4:$D$185,4,0))," ",VLOOKUP(Tableau13[[#This Row],[Code]],'Code Véhicule'!$A$4:$D$185,4,0))</f>
        <v xml:space="preserve"> 11469-A-73</v>
      </c>
      <c r="F1124" s="92"/>
      <c r="G1124" s="38" t="s">
        <v>493</v>
      </c>
      <c r="H1124" s="38" t="s">
        <v>601</v>
      </c>
      <c r="I1124" s="36" t="s">
        <v>304</v>
      </c>
      <c r="J1124" s="39" t="s">
        <v>2236</v>
      </c>
      <c r="K1124" s="92"/>
      <c r="L1124" s="96">
        <v>1140</v>
      </c>
      <c r="M1124" s="96">
        <v>1140</v>
      </c>
      <c r="N1124" s="97">
        <v>45087</v>
      </c>
      <c r="O1124" s="98"/>
      <c r="P1124" s="98"/>
      <c r="Q1124" s="177" t="e">
        <f>MONTH([1]!Tableau13[[#This Row],[Date début]])</f>
        <v>#REF!</v>
      </c>
      <c r="R1124" s="181" t="e">
        <f>YEAR([1]!Tableau13[[#This Row],[Date début]])</f>
        <v>#REF!</v>
      </c>
      <c r="S1124" s="44"/>
      <c r="T1124" s="44"/>
    </row>
    <row r="1125" spans="1:20" s="75" customFormat="1" ht="23.25">
      <c r="A1125" s="91">
        <v>45086</v>
      </c>
      <c r="B1125" s="92">
        <v>407</v>
      </c>
      <c r="C1125" s="93" t="str">
        <f>IF(ISNA(VLOOKUP(Tableau13[[#This Row],[Code]],'Code Véhicule'!$A$4:$C$185,2,0)),"",VLOOKUP(Tableau13[[#This Row],[Code]],'Code Véhicule'!$A$4:$C$185,2,0))</f>
        <v>Semi remorque</v>
      </c>
      <c r="D1125" s="94" t="str">
        <f>IF(ISNA(VLOOKUP(Tableau13[[#This Row],[Code]],'Code Véhicule'!$A$4:$C$185,3,0)),"",VLOOKUP(Tableau13[[#This Row],[Code]],'Code Véhicule'!$A$4:$C$185,3,0))</f>
        <v>MAN</v>
      </c>
      <c r="E1125" s="92" t="str">
        <f>IF(ISNA(VLOOKUP(Tableau13[[#This Row],[Code]],'Code Véhicule'!$A$4:$D$185,4,0))," ",VLOOKUP(Tableau13[[#This Row],[Code]],'Code Véhicule'!$A$4:$D$185,4,0))</f>
        <v>706-A-73</v>
      </c>
      <c r="F1125" s="92"/>
      <c r="G1125" s="38" t="s">
        <v>523</v>
      </c>
      <c r="H1125" s="38" t="s">
        <v>2237</v>
      </c>
      <c r="I1125" s="36" t="s">
        <v>304</v>
      </c>
      <c r="J1125" s="39" t="s">
        <v>2238</v>
      </c>
      <c r="K1125" s="92"/>
      <c r="L1125" s="96">
        <v>120</v>
      </c>
      <c r="M1125" s="96">
        <v>120</v>
      </c>
      <c r="N1125" s="41">
        <v>45087</v>
      </c>
      <c r="O1125" s="98"/>
      <c r="P1125" s="98"/>
      <c r="Q1125" s="177" t="e">
        <f>MONTH([1]!Tableau13[[#This Row],[Date début]])</f>
        <v>#REF!</v>
      </c>
      <c r="R1125" s="181" t="e">
        <f>YEAR([1]!Tableau13[[#This Row],[Date début]])</f>
        <v>#REF!</v>
      </c>
      <c r="S1125" s="44"/>
      <c r="T1125" s="44"/>
    </row>
    <row r="1126" spans="1:20" s="75" customFormat="1" ht="45">
      <c r="A1126" s="91">
        <v>45087</v>
      </c>
      <c r="B1126" s="92">
        <v>411</v>
      </c>
      <c r="C1126" s="93" t="str">
        <f>IF(ISNA(VLOOKUP(Tableau13[[#This Row],[Code]],'Code Véhicule'!$A$4:$C$185,2,0)),"",VLOOKUP(Tableau13[[#This Row],[Code]],'Code Véhicule'!$A$4:$C$185,2,0))</f>
        <v>Camion</v>
      </c>
      <c r="D1126" s="94" t="str">
        <f>IF(ISNA(VLOOKUP(Tableau13[[#This Row],[Code]],'Code Véhicule'!$A$4:$C$185,3,0)),"",VLOOKUP(Tableau13[[#This Row],[Code]],'Code Véhicule'!$A$4:$C$185,3,0))</f>
        <v>Renault</v>
      </c>
      <c r="E1126" s="92" t="str">
        <f>IF(ISNA(VLOOKUP(Tableau13[[#This Row],[Code]],'Code Véhicule'!$A$4:$D$185,4,0))," ",VLOOKUP(Tableau13[[#This Row],[Code]],'Code Véhicule'!$A$4:$D$185,4,0))</f>
        <v>25636-A-13</v>
      </c>
      <c r="F1126" s="92"/>
      <c r="G1126" s="38" t="s">
        <v>2239</v>
      </c>
      <c r="H1126" s="38" t="s">
        <v>2240</v>
      </c>
      <c r="I1126" s="92"/>
      <c r="J1126" s="39" t="s">
        <v>2241</v>
      </c>
      <c r="K1126" s="92"/>
      <c r="L1126" s="96">
        <v>1140</v>
      </c>
      <c r="M1126" s="96">
        <v>1140</v>
      </c>
      <c r="N1126" s="97">
        <v>45088</v>
      </c>
      <c r="O1126" s="98"/>
      <c r="P1126" s="98"/>
      <c r="Q1126" s="177" t="e">
        <f>MONTH([1]!Tableau13[[#This Row],[Date début]])</f>
        <v>#REF!</v>
      </c>
      <c r="R1126" s="181" t="e">
        <f>YEAR([1]!Tableau13[[#This Row],[Date début]])</f>
        <v>#REF!</v>
      </c>
      <c r="S1126" s="44"/>
      <c r="T1126" s="44"/>
    </row>
    <row r="1127" spans="1:20" s="75" customFormat="1" ht="45">
      <c r="A1127" s="91">
        <v>45087</v>
      </c>
      <c r="B1127" s="92">
        <v>439</v>
      </c>
      <c r="C1127" s="93" t="str">
        <f>IF(ISNA(VLOOKUP(Tableau13[[#This Row],[Code]],'Code Véhicule'!$A$4:$C$185,2,0)),"",VLOOKUP(Tableau13[[#This Row],[Code]],'Code Véhicule'!$A$4:$C$185,2,0))</f>
        <v>Semi remorque</v>
      </c>
      <c r="D1127" s="94" t="str">
        <f>IF(ISNA(VLOOKUP(Tableau13[[#This Row],[Code]],'Code Véhicule'!$A$4:$C$185,3,0)),"",VLOOKUP(Tableau13[[#This Row],[Code]],'Code Véhicule'!$A$4:$C$185,3,0))</f>
        <v>VOLVO</v>
      </c>
      <c r="E1127" s="92" t="str">
        <f>IF(ISNA(VLOOKUP(Tableau13[[#This Row],[Code]],'Code Véhicule'!$A$4:$D$185,4,0))," ",VLOOKUP(Tableau13[[#This Row],[Code]],'Code Véhicule'!$A$4:$D$185,4,0))</f>
        <v xml:space="preserve">17886-A-73 </v>
      </c>
      <c r="F1127" s="92"/>
      <c r="G1127" s="38" t="s">
        <v>560</v>
      </c>
      <c r="H1127" s="38" t="s">
        <v>2242</v>
      </c>
      <c r="I1127" s="36" t="s">
        <v>304</v>
      </c>
      <c r="J1127" s="39" t="s">
        <v>2243</v>
      </c>
      <c r="K1127" s="92"/>
      <c r="L1127" s="96">
        <v>240</v>
      </c>
      <c r="M1127" s="96">
        <v>240</v>
      </c>
      <c r="N1127" s="97">
        <v>45087</v>
      </c>
      <c r="O1127" s="98"/>
      <c r="P1127" s="98"/>
      <c r="Q1127" s="177" t="e">
        <f>MONTH([1]!Tableau13[[#This Row],[Date début]])</f>
        <v>#REF!</v>
      </c>
      <c r="R1127" s="181" t="e">
        <f>YEAR([1]!Tableau13[[#This Row],[Date début]])</f>
        <v>#REF!</v>
      </c>
      <c r="S1127" s="44"/>
      <c r="T1127" s="44"/>
    </row>
    <row r="1128" spans="1:20" s="75" customFormat="1" ht="90">
      <c r="A1128" s="91">
        <v>45094</v>
      </c>
      <c r="B1128" s="92">
        <v>432</v>
      </c>
      <c r="C1128" s="93" t="str">
        <f>IF(ISNA(VLOOKUP(Tableau13[[#This Row],[Code]],'Code Véhicule'!$A$4:$C$185,2,0)),"",VLOOKUP(Tableau13[[#This Row],[Code]],'Code Véhicule'!$A$4:$C$185,2,0))</f>
        <v>Voiture de fonction</v>
      </c>
      <c r="D1128" s="94" t="str">
        <f>IF(ISNA(VLOOKUP(Tableau13[[#This Row],[Code]],'Code Véhicule'!$A$4:$C$185,3,0)),"",VLOOKUP(Tableau13[[#This Row],[Code]],'Code Véhicule'!$A$4:$C$185,3,0))</f>
        <v>Berlingo</v>
      </c>
      <c r="E1128" s="92" t="str">
        <f>IF(ISNA(VLOOKUP(Tableau13[[#This Row],[Code]],'Code Véhicule'!$A$4:$D$185,4,0))," ",VLOOKUP(Tableau13[[#This Row],[Code]],'Code Véhicule'!$A$4:$D$185,4,0))</f>
        <v xml:space="preserve"> 9660 -A-73</v>
      </c>
      <c r="F1128" s="92"/>
      <c r="G1128" s="38" t="s">
        <v>393</v>
      </c>
      <c r="H1128" s="38" t="s">
        <v>608</v>
      </c>
      <c r="I1128" s="36" t="s">
        <v>302</v>
      </c>
      <c r="J1128" s="39" t="s">
        <v>2244</v>
      </c>
      <c r="K1128" s="92"/>
      <c r="L1128" s="96">
        <v>120</v>
      </c>
      <c r="M1128" s="96">
        <v>120</v>
      </c>
      <c r="N1128" s="97">
        <v>45094</v>
      </c>
      <c r="O1128" s="98"/>
      <c r="P1128" s="98"/>
      <c r="Q1128" s="177" t="e">
        <f>MONTH([1]!Tableau13[[#This Row],[Date début]])</f>
        <v>#REF!</v>
      </c>
      <c r="R1128" s="181" t="e">
        <f>YEAR([1]!Tableau13[[#This Row],[Date début]])</f>
        <v>#REF!</v>
      </c>
      <c r="S1128" s="44"/>
      <c r="T1128" s="44"/>
    </row>
    <row r="1129" spans="1:20" s="75" customFormat="1" ht="90">
      <c r="A1129" s="91">
        <v>45094</v>
      </c>
      <c r="B1129" s="92">
        <v>433</v>
      </c>
      <c r="C1129" s="93" t="str">
        <f>IF(ISNA(VLOOKUP(Tableau13[[#This Row],[Code]],'Code Véhicule'!$A$4:$C$185,2,0)),"",VLOOKUP(Tableau13[[#This Row],[Code]],'Code Véhicule'!$A$4:$C$185,2,0))</f>
        <v>Voiture de fonction</v>
      </c>
      <c r="D1129" s="94" t="str">
        <f>IF(ISNA(VLOOKUP(Tableau13[[#This Row],[Code]],'Code Véhicule'!$A$4:$C$185,3,0)),"",VLOOKUP(Tableau13[[#This Row],[Code]],'Code Véhicule'!$A$4:$C$185,3,0))</f>
        <v>Berlingo</v>
      </c>
      <c r="E1129" s="92" t="str">
        <f>IF(ISNA(VLOOKUP(Tableau13[[#This Row],[Code]],'Code Véhicule'!$A$4:$D$185,4,0))," ",VLOOKUP(Tableau13[[#This Row],[Code]],'Code Véhicule'!$A$4:$D$185,4,0))</f>
        <v>10551-A-73</v>
      </c>
      <c r="F1129" s="92"/>
      <c r="G1129" s="38" t="s">
        <v>2142</v>
      </c>
      <c r="H1129" s="38" t="s">
        <v>2245</v>
      </c>
      <c r="I1129" s="36" t="s">
        <v>304</v>
      </c>
      <c r="J1129" s="39" t="s">
        <v>2249</v>
      </c>
      <c r="K1129" s="92"/>
      <c r="L1129" s="96">
        <v>2280</v>
      </c>
      <c r="M1129" s="96">
        <v>2280</v>
      </c>
      <c r="N1129" s="97">
        <v>45097</v>
      </c>
      <c r="O1129" s="98"/>
      <c r="P1129" s="98"/>
      <c r="Q1129" s="177" t="e">
        <f>MONTH([1]!Tableau13[[#This Row],[Date début]])</f>
        <v>#REF!</v>
      </c>
      <c r="R1129" s="181" t="e">
        <f>YEAR([1]!Tableau13[[#This Row],[Date début]])</f>
        <v>#REF!</v>
      </c>
      <c r="S1129" s="44"/>
      <c r="T1129" s="44"/>
    </row>
    <row r="1130" spans="1:20" s="75" customFormat="1" ht="60">
      <c r="A1130" s="91">
        <v>45094</v>
      </c>
      <c r="B1130" s="92">
        <v>417</v>
      </c>
      <c r="C1130" s="93" t="str">
        <f>IF(ISNA(VLOOKUP(Tableau13[[#This Row],[Code]],'Code Véhicule'!$A$4:$C$185,2,0)),"",VLOOKUP(Tableau13[[#This Row],[Code]],'Code Véhicule'!$A$4:$C$185,2,0))</f>
        <v>Voiture de fonction</v>
      </c>
      <c r="D1130" s="94" t="str">
        <f>IF(ISNA(VLOOKUP(Tableau13[[#This Row],[Code]],'Code Véhicule'!$A$4:$C$185,3,0)),"",VLOOKUP(Tableau13[[#This Row],[Code]],'Code Véhicule'!$A$4:$C$185,3,0))</f>
        <v>Berlingo</v>
      </c>
      <c r="E1130" s="92" t="str">
        <f>IF(ISNA(VLOOKUP(Tableau13[[#This Row],[Code]],'Code Véhicule'!$A$4:$D$185,4,0))," ",VLOOKUP(Tableau13[[#This Row],[Code]],'Code Véhicule'!$A$4:$D$185,4,0))</f>
        <v>981-A-73</v>
      </c>
      <c r="F1130" s="92"/>
      <c r="G1130" s="38" t="s">
        <v>2142</v>
      </c>
      <c r="H1130" s="38" t="s">
        <v>2245</v>
      </c>
      <c r="I1130" s="36" t="s">
        <v>304</v>
      </c>
      <c r="J1130" s="39" t="s">
        <v>2246</v>
      </c>
      <c r="K1130" s="92"/>
      <c r="L1130" s="96">
        <v>2280</v>
      </c>
      <c r="M1130" s="96">
        <v>2280</v>
      </c>
      <c r="N1130" s="97">
        <v>45100</v>
      </c>
      <c r="O1130" s="98"/>
      <c r="P1130" s="98"/>
      <c r="Q1130" s="177" t="e">
        <f>MONTH([1]!Tableau13[[#This Row],[Date début]])</f>
        <v>#REF!</v>
      </c>
      <c r="R1130" s="181" t="e">
        <f>YEAR([1]!Tableau13[[#This Row],[Date début]])</f>
        <v>#REF!</v>
      </c>
      <c r="S1130" s="44"/>
      <c r="T1130" s="44"/>
    </row>
    <row r="1131" spans="1:20" s="75" customFormat="1" ht="23.25">
      <c r="A1131" s="91">
        <v>45094</v>
      </c>
      <c r="B1131" s="92">
        <v>436</v>
      </c>
      <c r="C1131" s="93" t="str">
        <f>IF(ISNA(VLOOKUP(Tableau13[[#This Row],[Code]],'Code Véhicule'!$A$4:$C$185,2,0)),"",VLOOKUP(Tableau13[[#This Row],[Code]],'Code Véhicule'!$A$4:$C$185,2,0))</f>
        <v>Camion</v>
      </c>
      <c r="D1131" s="94" t="str">
        <f>IF(ISNA(VLOOKUP(Tableau13[[#This Row],[Code]],'Code Véhicule'!$A$4:$C$185,3,0)),"",VLOOKUP(Tableau13[[#This Row],[Code]],'Code Véhicule'!$A$4:$C$185,3,0))</f>
        <v>Mitsubishi</v>
      </c>
      <c r="E1131" s="92" t="str">
        <f>IF(ISNA(VLOOKUP(Tableau13[[#This Row],[Code]],'Code Véhicule'!$A$4:$D$185,4,0))," ",VLOOKUP(Tableau13[[#This Row],[Code]],'Code Véhicule'!$A$4:$D$185,4,0))</f>
        <v>11470-A-73</v>
      </c>
      <c r="F1131" s="92"/>
      <c r="G1131" s="38" t="s">
        <v>663</v>
      </c>
      <c r="H1131" s="38" t="s">
        <v>664</v>
      </c>
      <c r="I1131" s="36" t="s">
        <v>304</v>
      </c>
      <c r="J1131" s="39" t="s">
        <v>2247</v>
      </c>
      <c r="K1131" s="92"/>
      <c r="L1131" s="96">
        <v>120</v>
      </c>
      <c r="M1131" s="96">
        <v>120</v>
      </c>
      <c r="N1131" s="97">
        <v>45095</v>
      </c>
      <c r="O1131" s="98"/>
      <c r="P1131" s="98"/>
      <c r="Q1131" s="177" t="e">
        <f>MONTH([1]!Tableau13[[#This Row],[Date début]])</f>
        <v>#REF!</v>
      </c>
      <c r="R1131" s="181" t="e">
        <f>YEAR([1]!Tableau13[[#This Row],[Date début]])</f>
        <v>#REF!</v>
      </c>
      <c r="S1131" s="44"/>
      <c r="T1131" s="44"/>
    </row>
    <row r="1132" spans="1:20" s="75" customFormat="1" ht="23.25">
      <c r="A1132" s="91">
        <v>45095</v>
      </c>
      <c r="B1132" s="92">
        <v>7</v>
      </c>
      <c r="C1132" s="93" t="str">
        <f>IF(ISNA(VLOOKUP(Tableau13[[#This Row],[Code]],'Code Véhicule'!$A$4:$C$185,2,0)),"",VLOOKUP(Tableau13[[#This Row],[Code]],'Code Véhicule'!$A$4:$C$185,2,0))</f>
        <v>Voiture de fonction</v>
      </c>
      <c r="D1132" s="94" t="str">
        <f>IF(ISNA(VLOOKUP(Tableau13[[#This Row],[Code]],'Code Véhicule'!$A$4:$C$185,3,0)),"",VLOOKUP(Tableau13[[#This Row],[Code]],'Code Véhicule'!$A$4:$C$185,3,0))</f>
        <v>Berlingo</v>
      </c>
      <c r="E1132" s="92" t="str">
        <f>IF(ISNA(VLOOKUP(Tableau13[[#This Row],[Code]],'Code Véhicule'!$A$4:$D$185,4,0))," ",VLOOKUP(Tableau13[[#This Row],[Code]],'Code Véhicule'!$A$4:$D$185,4,0))</f>
        <v>50313-A-6</v>
      </c>
      <c r="F1132" s="92"/>
      <c r="G1132" s="38" t="s">
        <v>545</v>
      </c>
      <c r="H1132" s="38" t="s">
        <v>620</v>
      </c>
      <c r="I1132" s="36" t="s">
        <v>304</v>
      </c>
      <c r="J1132" s="39" t="s">
        <v>2248</v>
      </c>
      <c r="K1132" s="92"/>
      <c r="L1132" s="96">
        <v>2280</v>
      </c>
      <c r="M1132" s="96">
        <v>2280</v>
      </c>
      <c r="N1132" s="97">
        <v>45101</v>
      </c>
      <c r="O1132" s="98"/>
      <c r="P1132" s="98"/>
      <c r="Q1132" s="177" t="e">
        <f>MONTH([1]!Tableau13[[#This Row],[Date début]])</f>
        <v>#REF!</v>
      </c>
      <c r="R1132" s="181" t="e">
        <f>YEAR([1]!Tableau13[[#This Row],[Date début]])</f>
        <v>#REF!</v>
      </c>
      <c r="S1132" s="44"/>
      <c r="T1132" s="44"/>
    </row>
    <row r="1133" spans="1:20" s="75" customFormat="1" ht="45">
      <c r="A1133" s="91">
        <v>45098</v>
      </c>
      <c r="B1133" s="92">
        <v>480</v>
      </c>
      <c r="C1133" s="93" t="str">
        <f>IF(ISNA(VLOOKUP(Tableau13[[#This Row],[Code]],'Code Véhicule'!$A$4:$C$185,2,0)),"",VLOOKUP(Tableau13[[#This Row],[Code]],'Code Véhicule'!$A$4:$C$185,2,0))</f>
        <v>Camion</v>
      </c>
      <c r="D1133" s="94" t="str">
        <f>IF(ISNA(VLOOKUP(Tableau13[[#This Row],[Code]],'Code Véhicule'!$A$4:$C$185,3,0)),"",VLOOKUP(Tableau13[[#This Row],[Code]],'Code Véhicule'!$A$4:$C$185,3,0))</f>
        <v>VOLVO</v>
      </c>
      <c r="E1133" s="92" t="str">
        <f>IF(ISNA(VLOOKUP(Tableau13[[#This Row],[Code]],'Code Véhicule'!$A$4:$D$185,4,0))," ",VLOOKUP(Tableau13[[#This Row],[Code]],'Code Véhicule'!$A$4:$D$185,4,0))</f>
        <v>22299-A-73</v>
      </c>
      <c r="F1133" s="92"/>
      <c r="G1133" s="38" t="s">
        <v>523</v>
      </c>
      <c r="H1133" s="38" t="s">
        <v>2250</v>
      </c>
      <c r="I1133" s="36" t="s">
        <v>304</v>
      </c>
      <c r="J1133" s="39" t="s">
        <v>2251</v>
      </c>
      <c r="K1133" s="92"/>
      <c r="L1133" s="96">
        <v>240</v>
      </c>
      <c r="M1133" s="96">
        <v>240</v>
      </c>
      <c r="N1133" s="97">
        <v>45098</v>
      </c>
      <c r="O1133" s="98"/>
      <c r="P1133" s="98"/>
      <c r="Q1133" s="177" t="e">
        <f>MONTH([1]!Tableau13[[#This Row],[Date début]])</f>
        <v>#REF!</v>
      </c>
      <c r="R1133" s="181" t="e">
        <f>YEAR([1]!Tableau13[[#This Row],[Date début]])</f>
        <v>#REF!</v>
      </c>
      <c r="S1133" s="44"/>
      <c r="T1133" s="44"/>
    </row>
    <row r="1134" spans="1:20" s="75" customFormat="1" ht="30">
      <c r="A1134" s="91">
        <v>45099</v>
      </c>
      <c r="B1134" s="92">
        <v>480</v>
      </c>
      <c r="C1134" s="93" t="str">
        <f>IF(ISNA(VLOOKUP(Tableau13[[#This Row],[Code]],'Code Véhicule'!$A$4:$C$185,2,0)),"",VLOOKUP(Tableau13[[#This Row],[Code]],'Code Véhicule'!$A$4:$C$185,2,0))</f>
        <v>Camion</v>
      </c>
      <c r="D1134" s="94" t="str">
        <f>IF(ISNA(VLOOKUP(Tableau13[[#This Row],[Code]],'Code Véhicule'!$A$4:$C$185,3,0)),"",VLOOKUP(Tableau13[[#This Row],[Code]],'Code Véhicule'!$A$4:$C$185,3,0))</f>
        <v>VOLVO</v>
      </c>
      <c r="E1134" s="92" t="str">
        <f>IF(ISNA(VLOOKUP(Tableau13[[#This Row],[Code]],'Code Véhicule'!$A$4:$D$185,4,0))," ",VLOOKUP(Tableau13[[#This Row],[Code]],'Code Véhicule'!$A$4:$D$185,4,0))</f>
        <v>22299-A-73</v>
      </c>
      <c r="F1134" s="92"/>
      <c r="G1134" s="38" t="s">
        <v>393</v>
      </c>
      <c r="H1134" s="38" t="s">
        <v>2186</v>
      </c>
      <c r="I1134" s="36" t="s">
        <v>304</v>
      </c>
      <c r="J1134" s="39" t="s">
        <v>2252</v>
      </c>
      <c r="K1134" s="92"/>
      <c r="L1134" s="96">
        <v>120</v>
      </c>
      <c r="M1134" s="96">
        <v>120</v>
      </c>
      <c r="N1134" s="97">
        <v>45099</v>
      </c>
      <c r="O1134" s="98"/>
      <c r="P1134" s="98"/>
      <c r="Q1134" s="177" t="e">
        <f>MONTH([1]!Tableau13[[#This Row],[Date début]])</f>
        <v>#REF!</v>
      </c>
      <c r="R1134" s="181" t="e">
        <f>YEAR([1]!Tableau13[[#This Row],[Date début]])</f>
        <v>#REF!</v>
      </c>
      <c r="S1134" s="44"/>
      <c r="T1134" s="44"/>
    </row>
    <row r="1135" spans="1:20" s="75" customFormat="1" ht="23.25">
      <c r="A1135" s="91">
        <v>45100</v>
      </c>
      <c r="B1135" s="92">
        <v>413</v>
      </c>
      <c r="C1135" s="93" t="str">
        <f>IF(ISNA(VLOOKUP(Tableau13[[#This Row],[Code]],'Code Véhicule'!$A$4:$C$185,2,0)),"",VLOOKUP(Tableau13[[#This Row],[Code]],'Code Véhicule'!$A$4:$C$185,2,0))</f>
        <v>Chargeur</v>
      </c>
      <c r="D1135" s="94" t="str">
        <f>IF(ISNA(VLOOKUP(Tableau13[[#This Row],[Code]],'Code Véhicule'!$A$4:$C$185,3,0)),"",VLOOKUP(Tableau13[[#This Row],[Code]],'Code Véhicule'!$A$4:$C$185,3,0))</f>
        <v>Caterpillar</v>
      </c>
      <c r="E1135" s="92" t="str">
        <f>IF(ISNA(VLOOKUP(Tableau13[[#This Row],[Code]],'Code Véhicule'!$A$4:$D$185,4,0))," ",VLOOKUP(Tableau13[[#This Row],[Code]],'Code Véhicule'!$A$4:$D$185,4,0))</f>
        <v>-</v>
      </c>
      <c r="F1135" s="92"/>
      <c r="G1135" s="38" t="s">
        <v>537</v>
      </c>
      <c r="H1135" s="38" t="s">
        <v>1288</v>
      </c>
      <c r="I1135" s="36" t="s">
        <v>304</v>
      </c>
      <c r="J1135" s="39" t="s">
        <v>2253</v>
      </c>
      <c r="K1135" s="92"/>
      <c r="L1135" s="96">
        <v>240</v>
      </c>
      <c r="M1135" s="96">
        <v>240</v>
      </c>
      <c r="N1135" s="97">
        <v>45100</v>
      </c>
      <c r="O1135" s="98"/>
      <c r="P1135" s="98"/>
      <c r="Q1135" s="177" t="e">
        <f>MONTH([1]!Tableau13[[#This Row],[Date début]])</f>
        <v>#REF!</v>
      </c>
      <c r="R1135" s="181" t="e">
        <f>YEAR([1]!Tableau13[[#This Row],[Date début]])</f>
        <v>#REF!</v>
      </c>
      <c r="S1135" s="44"/>
      <c r="T1135" s="44"/>
    </row>
    <row r="1136" spans="1:20" s="75" customFormat="1" ht="23.25">
      <c r="A1136" s="91">
        <v>45112</v>
      </c>
      <c r="B1136" s="92">
        <v>410</v>
      </c>
      <c r="C1136" s="93" t="str">
        <f>IF(ISNA(VLOOKUP(Tableau13[[#This Row],[Code]],'Code Véhicule'!$A$4:$C$185,2,0)),"",VLOOKUP(Tableau13[[#This Row],[Code]],'Code Véhicule'!$A$4:$C$185,2,0))</f>
        <v>Semi remorque</v>
      </c>
      <c r="D1136" s="94" t="str">
        <f>IF(ISNA(VLOOKUP(Tableau13[[#This Row],[Code]],'Code Véhicule'!$A$4:$C$185,3,0)),"",VLOOKUP(Tableau13[[#This Row],[Code]],'Code Véhicule'!$A$4:$C$185,3,0))</f>
        <v>MAN</v>
      </c>
      <c r="E1136" s="92" t="str">
        <f>IF(ISNA(VLOOKUP(Tableau13[[#This Row],[Code]],'Code Véhicule'!$A$4:$D$185,4,0))," ",VLOOKUP(Tableau13[[#This Row],[Code]],'Code Véhicule'!$A$4:$D$185,4,0))</f>
        <v xml:space="preserve">28659-D-1 </v>
      </c>
      <c r="F1136" s="92"/>
      <c r="G1136" s="38" t="s">
        <v>661</v>
      </c>
      <c r="H1136" s="38" t="s">
        <v>2131</v>
      </c>
      <c r="I1136" s="36" t="s">
        <v>304</v>
      </c>
      <c r="J1136" s="39" t="s">
        <v>2254</v>
      </c>
      <c r="K1136" s="92"/>
      <c r="L1136" s="96">
        <v>570</v>
      </c>
      <c r="M1136" s="96">
        <v>570</v>
      </c>
      <c r="N1136" s="97">
        <v>45112</v>
      </c>
      <c r="O1136" s="98"/>
      <c r="P1136" s="98"/>
      <c r="Q1136" s="177" t="e">
        <f>MONTH([1]!Tableau13[[#This Row],[Date début]])</f>
        <v>#REF!</v>
      </c>
      <c r="R1136" s="181" t="e">
        <f>YEAR([1]!Tableau13[[#This Row],[Date début]])</f>
        <v>#REF!</v>
      </c>
      <c r="S1136" s="44"/>
      <c r="T1136" s="44"/>
    </row>
    <row r="1137" spans="1:20" s="75" customFormat="1" ht="30">
      <c r="A1137" s="91">
        <v>45112</v>
      </c>
      <c r="B1137" s="92">
        <v>430</v>
      </c>
      <c r="C1137" s="93" t="str">
        <f>IF(ISNA(VLOOKUP(Tableau13[[#This Row],[Code]],'Code Véhicule'!$A$4:$C$185,2,0)),"",VLOOKUP(Tableau13[[#This Row],[Code]],'Code Véhicule'!$A$4:$C$185,2,0))</f>
        <v>Chariot elevateur</v>
      </c>
      <c r="D1137" s="94" t="str">
        <f>IF(ISNA(VLOOKUP(Tableau13[[#This Row],[Code]],'Code Véhicule'!$A$4:$C$185,3,0)),"",VLOOKUP(Tableau13[[#This Row],[Code]],'Code Véhicule'!$A$4:$C$185,3,0))</f>
        <v>Fenwick  H40</v>
      </c>
      <c r="E1137" s="92" t="str">
        <f>IF(ISNA(VLOOKUP(Tableau13[[#This Row],[Code]],'Code Véhicule'!$A$4:$D$185,4,0))," ",VLOOKUP(Tableau13[[#This Row],[Code]],'Code Véhicule'!$A$4:$D$185,4,0))</f>
        <v>-</v>
      </c>
      <c r="F1137" s="92"/>
      <c r="G1137" s="38" t="s">
        <v>537</v>
      </c>
      <c r="H1137" s="38" t="s">
        <v>757</v>
      </c>
      <c r="I1137" s="36" t="s">
        <v>304</v>
      </c>
      <c r="J1137" s="39" t="s">
        <v>2255</v>
      </c>
      <c r="K1137" s="92"/>
      <c r="L1137" s="96">
        <v>2240</v>
      </c>
      <c r="M1137" s="96">
        <v>2240</v>
      </c>
      <c r="N1137" s="97">
        <v>45115</v>
      </c>
      <c r="O1137" s="98"/>
      <c r="P1137" s="98"/>
      <c r="Q1137" s="177" t="e">
        <f>MONTH([1]!Tableau13[[#This Row],[Date début]])</f>
        <v>#REF!</v>
      </c>
      <c r="R1137" s="181" t="e">
        <f>YEAR([1]!Tableau13[[#This Row],[Date début]])</f>
        <v>#REF!</v>
      </c>
      <c r="S1137" s="44"/>
      <c r="T1137" s="44"/>
    </row>
    <row r="1138" spans="1:20" s="75" customFormat="1" ht="30">
      <c r="A1138" s="91">
        <v>45113</v>
      </c>
      <c r="B1138" s="92">
        <v>406</v>
      </c>
      <c r="C1138" s="93" t="str">
        <f>IF(ISNA(VLOOKUP(Tableau13[[#This Row],[Code]],'Code Véhicule'!$A$4:$C$185,2,0)),"",VLOOKUP(Tableau13[[#This Row],[Code]],'Code Véhicule'!$A$4:$C$185,2,0))</f>
        <v>Semi remorque</v>
      </c>
      <c r="D1138" s="94" t="str">
        <f>IF(ISNA(VLOOKUP(Tableau13[[#This Row],[Code]],'Code Véhicule'!$A$4:$C$185,3,0)),"",VLOOKUP(Tableau13[[#This Row],[Code]],'Code Véhicule'!$A$4:$C$185,3,0))</f>
        <v>VOLVO</v>
      </c>
      <c r="E1138" s="92" t="str">
        <f>IF(ISNA(VLOOKUP(Tableau13[[#This Row],[Code]],'Code Véhicule'!$A$4:$D$185,4,0))," ",VLOOKUP(Tableau13[[#This Row],[Code]],'Code Véhicule'!$A$4:$D$185,4,0))</f>
        <v>70352-A-6</v>
      </c>
      <c r="F1138" s="92"/>
      <c r="G1138" s="38" t="s">
        <v>523</v>
      </c>
      <c r="H1138" s="38" t="s">
        <v>2202</v>
      </c>
      <c r="I1138" s="36" t="s">
        <v>304</v>
      </c>
      <c r="J1138" s="39" t="s">
        <v>2256</v>
      </c>
      <c r="K1138" s="92"/>
      <c r="L1138" s="96">
        <v>120</v>
      </c>
      <c r="M1138" s="96">
        <v>120</v>
      </c>
      <c r="N1138" s="97">
        <v>45113</v>
      </c>
      <c r="O1138" s="98"/>
      <c r="P1138" s="98"/>
      <c r="Q1138" s="177" t="e">
        <f>MONTH([1]!Tableau13[[#This Row],[Date début]])</f>
        <v>#REF!</v>
      </c>
      <c r="R1138" s="181" t="e">
        <f>YEAR([1]!Tableau13[[#This Row],[Date début]])</f>
        <v>#REF!</v>
      </c>
      <c r="S1138" s="44"/>
      <c r="T1138" s="44"/>
    </row>
    <row r="1139" spans="1:20" s="75" customFormat="1" ht="23.25">
      <c r="A1139" s="91">
        <v>45117</v>
      </c>
      <c r="B1139" s="92">
        <v>407</v>
      </c>
      <c r="C1139" s="93" t="str">
        <f>IF(ISNA(VLOOKUP(Tableau13[[#This Row],[Code]],'Code Véhicule'!$A$4:$C$185,2,0)),"",VLOOKUP(Tableau13[[#This Row],[Code]],'Code Véhicule'!$A$4:$C$185,2,0))</f>
        <v>Semi remorque</v>
      </c>
      <c r="D1139" s="94" t="str">
        <f>IF(ISNA(VLOOKUP(Tableau13[[#This Row],[Code]],'Code Véhicule'!$A$4:$C$185,3,0)),"",VLOOKUP(Tableau13[[#This Row],[Code]],'Code Véhicule'!$A$4:$C$185,3,0))</f>
        <v>MAN</v>
      </c>
      <c r="E1139" s="92" t="str">
        <f>IF(ISNA(VLOOKUP(Tableau13[[#This Row],[Code]],'Code Véhicule'!$A$4:$D$185,4,0))," ",VLOOKUP(Tableau13[[#This Row],[Code]],'Code Véhicule'!$A$4:$D$185,4,0))</f>
        <v>706-A-73</v>
      </c>
      <c r="F1139" s="92"/>
      <c r="G1139" s="38" t="s">
        <v>511</v>
      </c>
      <c r="H1139" s="38" t="s">
        <v>2257</v>
      </c>
      <c r="I1139" s="36" t="s">
        <v>304</v>
      </c>
      <c r="J1139" s="39" t="s">
        <v>2258</v>
      </c>
      <c r="K1139" s="92"/>
      <c r="L1139" s="96">
        <v>120</v>
      </c>
      <c r="M1139" s="96">
        <v>120</v>
      </c>
      <c r="N1139" s="97">
        <v>45087</v>
      </c>
      <c r="O1139" s="98"/>
      <c r="P1139" s="98"/>
      <c r="Q1139" s="177" t="e">
        <f>MONTH([1]!Tableau13[[#This Row],[Date début]])</f>
        <v>#REF!</v>
      </c>
      <c r="R1139" s="181" t="e">
        <f>YEAR([1]!Tableau13[[#This Row],[Date début]])</f>
        <v>#REF!</v>
      </c>
      <c r="S1139" s="44"/>
      <c r="T1139" s="44"/>
    </row>
    <row r="1140" spans="1:20" s="75" customFormat="1" ht="30">
      <c r="A1140" s="91">
        <v>45117</v>
      </c>
      <c r="B1140" s="92">
        <v>438</v>
      </c>
      <c r="C1140" s="93" t="str">
        <f>IF(ISNA(VLOOKUP(Tableau13[[#This Row],[Code]],'Code Véhicule'!$A$4:$C$185,2,0)),"",VLOOKUP(Tableau13[[#This Row],[Code]],'Code Véhicule'!$A$4:$C$185,2,0))</f>
        <v>Semi remorque</v>
      </c>
      <c r="D1140" s="94" t="str">
        <f>IF(ISNA(VLOOKUP(Tableau13[[#This Row],[Code]],'Code Véhicule'!$A$4:$C$185,3,0)),"",VLOOKUP(Tableau13[[#This Row],[Code]],'Code Véhicule'!$A$4:$C$185,3,0))</f>
        <v>VOLVO</v>
      </c>
      <c r="E1140" s="92" t="str">
        <f>IF(ISNA(VLOOKUP(Tableau13[[#This Row],[Code]],'Code Véhicule'!$A$4:$D$185,4,0))," ",VLOOKUP(Tableau13[[#This Row],[Code]],'Code Véhicule'!$A$4:$D$185,4,0))</f>
        <v xml:space="preserve">17885-A-73 </v>
      </c>
      <c r="F1140" s="92"/>
      <c r="G1140" s="38" t="s">
        <v>393</v>
      </c>
      <c r="H1140" s="38" t="s">
        <v>608</v>
      </c>
      <c r="I1140" s="36" t="s">
        <v>304</v>
      </c>
      <c r="J1140" s="39" t="s">
        <v>2259</v>
      </c>
      <c r="K1140" s="92"/>
      <c r="L1140" s="96">
        <v>120</v>
      </c>
      <c r="M1140" s="96">
        <v>120</v>
      </c>
      <c r="N1140" s="97">
        <v>45087</v>
      </c>
      <c r="O1140" s="98"/>
      <c r="P1140" s="98"/>
      <c r="Q1140" s="177" t="e">
        <f>MONTH([1]!Tableau13[[#This Row],[Date début]])</f>
        <v>#REF!</v>
      </c>
      <c r="R1140" s="181" t="e">
        <f>YEAR([1]!Tableau13[[#This Row],[Date début]])</f>
        <v>#REF!</v>
      </c>
      <c r="S1140" s="44"/>
      <c r="T1140" s="44"/>
    </row>
    <row r="1141" spans="1:20" s="75" customFormat="1" ht="75">
      <c r="A1141" s="91">
        <v>45117</v>
      </c>
      <c r="B1141" s="92">
        <v>407</v>
      </c>
      <c r="C1141" s="93" t="str">
        <f>IF(ISNA(VLOOKUP(Tableau13[[#This Row],[Code]],'Code Véhicule'!$A$4:$C$185,2,0)),"",VLOOKUP(Tableau13[[#This Row],[Code]],'Code Véhicule'!$A$4:$C$185,2,0))</f>
        <v>Semi remorque</v>
      </c>
      <c r="D1141" s="94" t="str">
        <f>IF(ISNA(VLOOKUP(Tableau13[[#This Row],[Code]],'Code Véhicule'!$A$4:$C$185,3,0)),"",VLOOKUP(Tableau13[[#This Row],[Code]],'Code Véhicule'!$A$4:$C$185,3,0))</f>
        <v>MAN</v>
      </c>
      <c r="E1141" s="92" t="str">
        <f>IF(ISNA(VLOOKUP(Tableau13[[#This Row],[Code]],'Code Véhicule'!$A$4:$D$185,4,0))," ",VLOOKUP(Tableau13[[#This Row],[Code]],'Code Véhicule'!$A$4:$D$185,4,0))</f>
        <v>706-A-73</v>
      </c>
      <c r="F1141" s="92"/>
      <c r="G1141" s="38" t="s">
        <v>610</v>
      </c>
      <c r="H1141" s="38" t="s">
        <v>955</v>
      </c>
      <c r="I1141" s="36" t="s">
        <v>304</v>
      </c>
      <c r="J1141" s="39" t="s">
        <v>2260</v>
      </c>
      <c r="K1141" s="92"/>
      <c r="L1141" s="96">
        <f>570*6</f>
        <v>3420</v>
      </c>
      <c r="M1141" s="96">
        <v>3420</v>
      </c>
      <c r="N1141" s="97">
        <v>45122</v>
      </c>
      <c r="O1141" s="98"/>
      <c r="P1141" s="98"/>
      <c r="Q1141" s="177" t="e">
        <f>MONTH([1]!Tableau13[[#This Row],[Date début]])</f>
        <v>#REF!</v>
      </c>
      <c r="R1141" s="181" t="e">
        <f>YEAR([1]!Tableau13[[#This Row],[Date début]])</f>
        <v>#REF!</v>
      </c>
      <c r="S1141" s="44"/>
      <c r="T1141" s="44"/>
    </row>
    <row r="1142" spans="1:20" s="75" customFormat="1" ht="90">
      <c r="A1142" s="91">
        <v>45119</v>
      </c>
      <c r="B1142" s="92">
        <v>435</v>
      </c>
      <c r="C1142" s="93" t="str">
        <f>IF(ISNA(VLOOKUP(Tableau13[[#This Row],[Code]],'Code Véhicule'!$A$4:$C$185,2,0)),"",VLOOKUP(Tableau13[[#This Row],[Code]],'Code Véhicule'!$A$4:$C$185,2,0))</f>
        <v>Camion</v>
      </c>
      <c r="D1142" s="94" t="str">
        <f>IF(ISNA(VLOOKUP(Tableau13[[#This Row],[Code]],'Code Véhicule'!$A$4:$C$185,3,0)),"",VLOOKUP(Tableau13[[#This Row],[Code]],'Code Véhicule'!$A$4:$C$185,3,0))</f>
        <v>Mitsubishi</v>
      </c>
      <c r="E1142" s="92" t="str">
        <f>IF(ISNA(VLOOKUP(Tableau13[[#This Row],[Code]],'Code Véhicule'!$A$4:$D$185,4,0))," ",VLOOKUP(Tableau13[[#This Row],[Code]],'Code Véhicule'!$A$4:$D$185,4,0))</f>
        <v xml:space="preserve"> 11469-A-73</v>
      </c>
      <c r="F1142" s="92"/>
      <c r="G1142" s="38" t="s">
        <v>1013</v>
      </c>
      <c r="H1142" s="38" t="s">
        <v>955</v>
      </c>
      <c r="I1142" s="36" t="s">
        <v>304</v>
      </c>
      <c r="J1142" s="39" t="s">
        <v>2261</v>
      </c>
      <c r="K1142" s="92"/>
      <c r="L1142" s="96">
        <v>1720</v>
      </c>
      <c r="M1142" s="96">
        <v>1720</v>
      </c>
      <c r="N1142" s="97">
        <v>45120</v>
      </c>
      <c r="O1142" s="98"/>
      <c r="P1142" s="98"/>
      <c r="Q1142" s="177" t="e">
        <f>MONTH([1]!Tableau13[[#This Row],[Date début]])</f>
        <v>#REF!</v>
      </c>
      <c r="R1142" s="181" t="e">
        <f>YEAR([1]!Tableau13[[#This Row],[Date début]])</f>
        <v>#REF!</v>
      </c>
      <c r="S1142" s="44"/>
      <c r="T1142" s="44"/>
    </row>
    <row r="1143" spans="1:20" s="75" customFormat="1" ht="23.25">
      <c r="A1143" s="91">
        <v>45120</v>
      </c>
      <c r="B1143" s="92">
        <v>481</v>
      </c>
      <c r="C1143" s="93" t="str">
        <f>IF(ISNA(VLOOKUP(Tableau13[[#This Row],[Code]],'Code Véhicule'!$A$4:$C$185,2,0)),"",VLOOKUP(Tableau13[[#This Row],[Code]],'Code Véhicule'!$A$4:$C$185,2,0))</f>
        <v>Camion</v>
      </c>
      <c r="D1143" s="94" t="str">
        <f>IF(ISNA(VLOOKUP(Tableau13[[#This Row],[Code]],'Code Véhicule'!$A$4:$C$185,3,0)),"",VLOOKUP(Tableau13[[#This Row],[Code]],'Code Véhicule'!$A$4:$C$185,3,0))</f>
        <v>VOLVO</v>
      </c>
      <c r="E1143" s="92" t="str">
        <f>IF(ISNA(VLOOKUP(Tableau13[[#This Row],[Code]],'Code Véhicule'!$A$4:$D$185,4,0))," ",VLOOKUP(Tableau13[[#This Row],[Code]],'Code Véhicule'!$A$4:$D$185,4,0))</f>
        <v>22300-A-73</v>
      </c>
      <c r="F1143" s="92"/>
      <c r="G1143" s="38" t="s">
        <v>560</v>
      </c>
      <c r="H1143" s="38" t="s">
        <v>604</v>
      </c>
      <c r="I1143" s="36" t="s">
        <v>304</v>
      </c>
      <c r="J1143" s="39" t="s">
        <v>2262</v>
      </c>
      <c r="K1143" s="92"/>
      <c r="L1143" s="96">
        <v>240</v>
      </c>
      <c r="M1143" s="96">
        <v>240</v>
      </c>
      <c r="N1143" s="97">
        <v>45120</v>
      </c>
      <c r="O1143" s="98"/>
      <c r="P1143" s="98"/>
      <c r="Q1143" s="177" t="e">
        <f>MONTH([1]!Tableau13[[#This Row],[Date début]])</f>
        <v>#REF!</v>
      </c>
      <c r="R1143" s="181" t="e">
        <f>YEAR([1]!Tableau13[[#This Row],[Date début]])</f>
        <v>#REF!</v>
      </c>
      <c r="S1143" s="44"/>
      <c r="T1143" s="44"/>
    </row>
    <row r="1144" spans="1:20" s="75" customFormat="1" ht="45">
      <c r="A1144" s="91">
        <v>45122</v>
      </c>
      <c r="B1144" s="92">
        <v>438</v>
      </c>
      <c r="C1144" s="93" t="str">
        <f>IF(ISNA(VLOOKUP(Tableau13[[#This Row],[Code]],'Code Véhicule'!$A$4:$C$185,2,0)),"",VLOOKUP(Tableau13[[#This Row],[Code]],'Code Véhicule'!$A$4:$C$185,2,0))</f>
        <v>Semi remorque</v>
      </c>
      <c r="D1144" s="94" t="str">
        <f>IF(ISNA(VLOOKUP(Tableau13[[#This Row],[Code]],'Code Véhicule'!$A$4:$C$185,3,0)),"",VLOOKUP(Tableau13[[#This Row],[Code]],'Code Véhicule'!$A$4:$C$185,3,0))</f>
        <v>VOLVO</v>
      </c>
      <c r="E1144" s="92" t="str">
        <f>IF(ISNA(VLOOKUP(Tableau13[[#This Row],[Code]],'Code Véhicule'!$A$4:$D$185,4,0))," ",VLOOKUP(Tableau13[[#This Row],[Code]],'Code Véhicule'!$A$4:$D$185,4,0))</f>
        <v xml:space="preserve">17885-A-73 </v>
      </c>
      <c r="F1144" s="92"/>
      <c r="G1144" s="38" t="s">
        <v>393</v>
      </c>
      <c r="H1144" s="38" t="s">
        <v>608</v>
      </c>
      <c r="I1144" s="36" t="s">
        <v>302</v>
      </c>
      <c r="J1144" s="39" t="s">
        <v>2263</v>
      </c>
      <c r="K1144" s="92"/>
      <c r="L1144" s="96">
        <v>240</v>
      </c>
      <c r="M1144" s="96">
        <v>240</v>
      </c>
      <c r="N1144" s="97">
        <v>45122</v>
      </c>
      <c r="O1144" s="98"/>
      <c r="P1144" s="98"/>
      <c r="Q1144" s="177" t="e">
        <f>MONTH([1]!Tableau13[[#This Row],[Date début]])</f>
        <v>#REF!</v>
      </c>
      <c r="R1144" s="181" t="e">
        <f>YEAR([1]!Tableau13[[#This Row],[Date début]])</f>
        <v>#REF!</v>
      </c>
      <c r="S1144" s="44"/>
      <c r="T1144" s="44"/>
    </row>
    <row r="1145" spans="1:20" s="75" customFormat="1" ht="23.25">
      <c r="A1145" s="91">
        <v>45124</v>
      </c>
      <c r="B1145" s="92">
        <v>429</v>
      </c>
      <c r="C1145" s="93" t="str">
        <f>IF(ISNA(VLOOKUP(Tableau13[[#This Row],[Code]],'Code Véhicule'!$A$4:$C$185,2,0)),"",VLOOKUP(Tableau13[[#This Row],[Code]],'Code Véhicule'!$A$4:$C$185,2,0))</f>
        <v>Chariot elevateur</v>
      </c>
      <c r="D1145" s="94" t="str">
        <f>IF(ISNA(VLOOKUP(Tableau13[[#This Row],[Code]],'Code Véhicule'!$A$4:$C$185,3,0)),"",VLOOKUP(Tableau13[[#This Row],[Code]],'Code Véhicule'!$A$4:$C$185,3,0))</f>
        <v>Fenwick HD30</v>
      </c>
      <c r="E1145" s="92" t="str">
        <f>IF(ISNA(VLOOKUP(Tableau13[[#This Row],[Code]],'Code Véhicule'!$A$4:$D$185,4,0))," ",VLOOKUP(Tableau13[[#This Row],[Code]],'Code Véhicule'!$A$4:$D$185,4,0))</f>
        <v>-</v>
      </c>
      <c r="F1145" s="92"/>
      <c r="G1145" s="38" t="s">
        <v>455</v>
      </c>
      <c r="H1145" s="38" t="s">
        <v>1530</v>
      </c>
      <c r="I1145" s="36" t="s">
        <v>304</v>
      </c>
      <c r="J1145" s="39" t="s">
        <v>2264</v>
      </c>
      <c r="K1145" s="92"/>
      <c r="L1145" s="96">
        <v>8550</v>
      </c>
      <c r="M1145" s="96">
        <v>8550</v>
      </c>
      <c r="N1145" s="97">
        <v>45164</v>
      </c>
      <c r="O1145" s="98"/>
      <c r="P1145" s="98"/>
      <c r="Q1145" s="177" t="e">
        <f>MONTH([1]!Tableau13[[#This Row],[Date début]])</f>
        <v>#REF!</v>
      </c>
      <c r="R1145" s="181" t="e">
        <f>YEAR([1]!Tableau13[[#This Row],[Date début]])</f>
        <v>#REF!</v>
      </c>
      <c r="S1145" s="44"/>
      <c r="T1145" s="44"/>
    </row>
    <row r="1146" spans="1:20" s="75" customFormat="1" ht="30">
      <c r="A1146" s="91">
        <v>45125</v>
      </c>
      <c r="B1146" s="92">
        <v>439</v>
      </c>
      <c r="C1146" s="93" t="str">
        <f>IF(ISNA(VLOOKUP(Tableau13[[#This Row],[Code]],'Code Véhicule'!$A$4:$C$185,2,0)),"",VLOOKUP(Tableau13[[#This Row],[Code]],'Code Véhicule'!$A$4:$C$185,2,0))</f>
        <v>Semi remorque</v>
      </c>
      <c r="D1146" s="94" t="str">
        <f>IF(ISNA(VLOOKUP(Tableau13[[#This Row],[Code]],'Code Véhicule'!$A$4:$C$185,3,0)),"",VLOOKUP(Tableau13[[#This Row],[Code]],'Code Véhicule'!$A$4:$C$185,3,0))</f>
        <v>VOLVO</v>
      </c>
      <c r="E1146" s="92" t="str">
        <f>IF(ISNA(VLOOKUP(Tableau13[[#This Row],[Code]],'Code Véhicule'!$A$4:$D$185,4,0))," ",VLOOKUP(Tableau13[[#This Row],[Code]],'Code Véhicule'!$A$4:$D$185,4,0))</f>
        <v xml:space="preserve">17886-A-73 </v>
      </c>
      <c r="F1146" s="92"/>
      <c r="G1146" s="38" t="s">
        <v>393</v>
      </c>
      <c r="H1146" s="38" t="s">
        <v>2186</v>
      </c>
      <c r="I1146" s="36" t="s">
        <v>302</v>
      </c>
      <c r="J1146" s="39" t="s">
        <v>2265</v>
      </c>
      <c r="K1146" s="92"/>
      <c r="L1146" s="96">
        <v>240</v>
      </c>
      <c r="M1146" s="96">
        <v>240</v>
      </c>
      <c r="N1146" s="97">
        <v>45125</v>
      </c>
      <c r="O1146" s="98"/>
      <c r="P1146" s="98"/>
      <c r="Q1146" s="177" t="e">
        <f>MONTH([1]!Tableau13[[#This Row],[Date début]])</f>
        <v>#REF!</v>
      </c>
      <c r="R1146" s="181" t="e">
        <f>YEAR([1]!Tableau13[[#This Row],[Date début]])</f>
        <v>#REF!</v>
      </c>
      <c r="S1146" s="44"/>
      <c r="T1146" s="44"/>
    </row>
    <row r="1147" spans="1:20" s="75" customFormat="1" ht="23.25">
      <c r="A1147" s="91">
        <v>45127</v>
      </c>
      <c r="B1147" s="92">
        <v>403</v>
      </c>
      <c r="C1147" s="93" t="str">
        <f>IF(ISNA(VLOOKUP(Tableau13[[#This Row],[Code]],'Code Véhicule'!$A$4:$C$185,2,0)),"",VLOOKUP(Tableau13[[#This Row],[Code]],'Code Véhicule'!$A$4:$C$185,2,0))</f>
        <v>Camion</v>
      </c>
      <c r="D1147" s="94" t="str">
        <f>IF(ISNA(VLOOKUP(Tableau13[[#This Row],[Code]],'Code Véhicule'!$A$4:$C$185,3,0)),"",VLOOKUP(Tableau13[[#This Row],[Code]],'Code Véhicule'!$A$4:$C$185,3,0))</f>
        <v>MAN</v>
      </c>
      <c r="E1147" s="92" t="str">
        <f>IF(ISNA(VLOOKUP(Tableau13[[#This Row],[Code]],'Code Véhicule'!$A$4:$D$185,4,0))," ",VLOOKUP(Tableau13[[#This Row],[Code]],'Code Véhicule'!$A$4:$D$185,4,0))</f>
        <v>4790-B-8</v>
      </c>
      <c r="F1147" s="92"/>
      <c r="G1147" s="38" t="s">
        <v>511</v>
      </c>
      <c r="H1147" s="38" t="s">
        <v>525</v>
      </c>
      <c r="I1147" s="36" t="s">
        <v>302</v>
      </c>
      <c r="J1147" s="39" t="s">
        <v>2266</v>
      </c>
      <c r="K1147" s="92"/>
      <c r="L1147" s="96">
        <v>570</v>
      </c>
      <c r="M1147" s="96">
        <v>570</v>
      </c>
      <c r="N1147" s="97">
        <v>45127</v>
      </c>
      <c r="O1147" s="98"/>
      <c r="P1147" s="98"/>
      <c r="Q1147" s="177" t="e">
        <f>MONTH([1]!Tableau13[[#This Row],[Date début]])</f>
        <v>#REF!</v>
      </c>
      <c r="R1147" s="181" t="e">
        <f>YEAR([1]!Tableau13[[#This Row],[Date début]])</f>
        <v>#REF!</v>
      </c>
      <c r="S1147" s="44"/>
      <c r="T1147" s="44"/>
    </row>
    <row r="1148" spans="1:20" s="75" customFormat="1" ht="23.25">
      <c r="A1148" s="91">
        <v>45131</v>
      </c>
      <c r="B1148" s="92">
        <v>434</v>
      </c>
      <c r="C1148" s="93" t="str">
        <f>IF(ISNA(VLOOKUP(Tableau13[[#This Row],[Code]],'Code Véhicule'!$A$4:$C$185,2,0)),"",VLOOKUP(Tableau13[[#This Row],[Code]],'Code Véhicule'!$A$4:$C$185,2,0))</f>
        <v>Chariot elevateur</v>
      </c>
      <c r="D1148" s="94" t="str">
        <f>IF(ISNA(VLOOKUP(Tableau13[[#This Row],[Code]],'Code Véhicule'!$A$4:$C$185,3,0)),"",VLOOKUP(Tableau13[[#This Row],[Code]],'Code Véhicule'!$A$4:$C$185,3,0))</f>
        <v>Linde H30D</v>
      </c>
      <c r="E1148" s="92" t="str">
        <f>IF(ISNA(VLOOKUP(Tableau13[[#This Row],[Code]],'Code Véhicule'!$A$4:$D$185,4,0))," ",VLOOKUP(Tableau13[[#This Row],[Code]],'Code Véhicule'!$A$4:$D$185,4,0))</f>
        <v>-</v>
      </c>
      <c r="F1148" s="92"/>
      <c r="G1148" s="38" t="s">
        <v>2267</v>
      </c>
      <c r="H1148" s="38" t="s">
        <v>2268</v>
      </c>
      <c r="I1148" s="36" t="s">
        <v>304</v>
      </c>
      <c r="J1148" s="39" t="s">
        <v>2269</v>
      </c>
      <c r="K1148" s="92"/>
      <c r="L1148" s="96">
        <v>240</v>
      </c>
      <c r="M1148" s="96">
        <v>240</v>
      </c>
      <c r="N1148" s="97">
        <v>45131</v>
      </c>
      <c r="O1148" s="98"/>
      <c r="P1148" s="98"/>
      <c r="Q1148" s="177" t="e">
        <f>MONTH([1]!Tableau13[[#This Row],[Date début]])</f>
        <v>#REF!</v>
      </c>
      <c r="R1148" s="181" t="e">
        <f>YEAR([1]!Tableau13[[#This Row],[Date début]])</f>
        <v>#REF!</v>
      </c>
      <c r="S1148" s="44"/>
      <c r="T1148" s="44"/>
    </row>
    <row r="1149" spans="1:20" s="75" customFormat="1" ht="30">
      <c r="A1149" s="91">
        <v>45131</v>
      </c>
      <c r="B1149" s="92">
        <v>413</v>
      </c>
      <c r="C1149" s="93" t="str">
        <f>IF(ISNA(VLOOKUP(Tableau13[[#This Row],[Code]],'Code Véhicule'!$A$4:$C$185,2,0)),"",VLOOKUP(Tableau13[[#This Row],[Code]],'Code Véhicule'!$A$4:$C$185,2,0))</f>
        <v>Chargeur</v>
      </c>
      <c r="D1149" s="94" t="str">
        <f>IF(ISNA(VLOOKUP(Tableau13[[#This Row],[Code]],'Code Véhicule'!$A$4:$C$185,3,0)),"",VLOOKUP(Tableau13[[#This Row],[Code]],'Code Véhicule'!$A$4:$C$185,3,0))</f>
        <v>Caterpillar</v>
      </c>
      <c r="E1149" s="92" t="str">
        <f>IF(ISNA(VLOOKUP(Tableau13[[#This Row],[Code]],'Code Véhicule'!$A$4:$D$185,4,0))," ",VLOOKUP(Tableau13[[#This Row],[Code]],'Code Véhicule'!$A$4:$D$185,4,0))</f>
        <v>-</v>
      </c>
      <c r="F1149" s="92"/>
      <c r="G1149" s="38" t="s">
        <v>661</v>
      </c>
      <c r="H1149" s="38" t="s">
        <v>799</v>
      </c>
      <c r="I1149" s="36" t="s">
        <v>304</v>
      </c>
      <c r="J1149" s="39" t="s">
        <v>2270</v>
      </c>
      <c r="K1149" s="92"/>
      <c r="L1149" s="96">
        <v>2850</v>
      </c>
      <c r="M1149" s="96">
        <v>2850</v>
      </c>
      <c r="N1149" s="97">
        <v>45140</v>
      </c>
      <c r="O1149" s="98"/>
      <c r="P1149" s="98"/>
      <c r="Q1149" s="177" t="e">
        <f>MONTH([1]!Tableau13[[#This Row],[Date début]])</f>
        <v>#REF!</v>
      </c>
      <c r="R1149" s="181" t="e">
        <f>YEAR([1]!Tableau13[[#This Row],[Date début]])</f>
        <v>#REF!</v>
      </c>
      <c r="S1149" s="44"/>
      <c r="T1149" s="44"/>
    </row>
    <row r="1150" spans="1:20" s="75" customFormat="1" ht="30">
      <c r="A1150" s="91">
        <v>45131</v>
      </c>
      <c r="B1150" s="92">
        <v>439</v>
      </c>
      <c r="C1150" s="93" t="str">
        <f>IF(ISNA(VLOOKUP(Tableau13[[#This Row],[Code]],'Code Véhicule'!$A$4:$C$185,2,0)),"",VLOOKUP(Tableau13[[#This Row],[Code]],'Code Véhicule'!$A$4:$C$185,2,0))</f>
        <v>Semi remorque</v>
      </c>
      <c r="D1150" s="94" t="str">
        <f>IF(ISNA(VLOOKUP(Tableau13[[#This Row],[Code]],'Code Véhicule'!$A$4:$C$185,3,0)),"",VLOOKUP(Tableau13[[#This Row],[Code]],'Code Véhicule'!$A$4:$C$185,3,0))</f>
        <v>VOLVO</v>
      </c>
      <c r="E1150" s="92" t="str">
        <f>IF(ISNA(VLOOKUP(Tableau13[[#This Row],[Code]],'Code Véhicule'!$A$4:$D$185,4,0))," ",VLOOKUP(Tableau13[[#This Row],[Code]],'Code Véhicule'!$A$4:$D$185,4,0))</f>
        <v xml:space="preserve">17886-A-73 </v>
      </c>
      <c r="F1150" s="92"/>
      <c r="G1150" s="38" t="s">
        <v>560</v>
      </c>
      <c r="H1150" s="38" t="s">
        <v>604</v>
      </c>
      <c r="I1150" s="36" t="s">
        <v>304</v>
      </c>
      <c r="J1150" s="39" t="s">
        <v>2271</v>
      </c>
      <c r="K1150" s="92"/>
      <c r="L1150" s="96">
        <v>1140</v>
      </c>
      <c r="M1150" s="96">
        <v>1140</v>
      </c>
      <c r="N1150" s="97">
        <v>45133</v>
      </c>
      <c r="O1150" s="98"/>
      <c r="P1150" s="98"/>
      <c r="Q1150" s="177" t="e">
        <f>MONTH([1]!Tableau13[[#This Row],[Date début]])</f>
        <v>#REF!</v>
      </c>
      <c r="R1150" s="181" t="e">
        <f>YEAR([1]!Tableau13[[#This Row],[Date début]])</f>
        <v>#REF!</v>
      </c>
      <c r="S1150" s="44"/>
      <c r="T1150" s="44"/>
    </row>
    <row r="1151" spans="1:20" s="75" customFormat="1" ht="60">
      <c r="A1151" s="91">
        <v>45132</v>
      </c>
      <c r="B1151" s="92">
        <v>410</v>
      </c>
      <c r="C1151" s="93" t="str">
        <f>IF(ISNA(VLOOKUP(Tableau13[[#This Row],[Code]],'Code Véhicule'!$A$4:$C$185,2,0)),"",VLOOKUP(Tableau13[[#This Row],[Code]],'Code Véhicule'!$A$4:$C$185,2,0))</f>
        <v>Semi remorque</v>
      </c>
      <c r="D1151" s="94" t="str">
        <f>IF(ISNA(VLOOKUP(Tableau13[[#This Row],[Code]],'Code Véhicule'!$A$4:$C$185,3,0)),"",VLOOKUP(Tableau13[[#This Row],[Code]],'Code Véhicule'!$A$4:$C$185,3,0))</f>
        <v>MAN</v>
      </c>
      <c r="E1151" s="92" t="str">
        <f>IF(ISNA(VLOOKUP(Tableau13[[#This Row],[Code]],'Code Véhicule'!$A$4:$D$185,4,0))," ",VLOOKUP(Tableau13[[#This Row],[Code]],'Code Véhicule'!$A$4:$D$185,4,0))</f>
        <v xml:space="preserve">28659-D-1 </v>
      </c>
      <c r="F1151" s="92"/>
      <c r="G1151" s="38" t="s">
        <v>393</v>
      </c>
      <c r="H1151" s="38" t="s">
        <v>2186</v>
      </c>
      <c r="I1151" s="36" t="s">
        <v>302</v>
      </c>
      <c r="J1151" s="39" t="s">
        <v>2272</v>
      </c>
      <c r="K1151" s="92"/>
      <c r="L1151" s="96">
        <v>240</v>
      </c>
      <c r="M1151" s="96">
        <v>240</v>
      </c>
      <c r="N1151" s="97">
        <v>45134</v>
      </c>
      <c r="O1151" s="98"/>
      <c r="P1151" s="98"/>
      <c r="Q1151" s="177" t="e">
        <f>MONTH([1]!Tableau13[[#This Row],[Date début]])</f>
        <v>#REF!</v>
      </c>
      <c r="R1151" s="181" t="e">
        <f>YEAR([1]!Tableau13[[#This Row],[Date début]])</f>
        <v>#REF!</v>
      </c>
      <c r="S1151" s="44"/>
      <c r="T1151" s="44"/>
    </row>
    <row r="1152" spans="1:20" s="75" customFormat="1" ht="30">
      <c r="A1152" s="91">
        <v>45134</v>
      </c>
      <c r="B1152" s="92">
        <v>481</v>
      </c>
      <c r="C1152" s="93" t="str">
        <f>IF(ISNA(VLOOKUP(Tableau13[[#This Row],[Code]],'Code Véhicule'!$A$4:$C$185,2,0)),"",VLOOKUP(Tableau13[[#This Row],[Code]],'Code Véhicule'!$A$4:$C$185,2,0))</f>
        <v>Camion</v>
      </c>
      <c r="D1152" s="94" t="str">
        <f>IF(ISNA(VLOOKUP(Tableau13[[#This Row],[Code]],'Code Véhicule'!$A$4:$C$185,3,0)),"",VLOOKUP(Tableau13[[#This Row],[Code]],'Code Véhicule'!$A$4:$C$185,3,0))</f>
        <v>VOLVO</v>
      </c>
      <c r="E1152" s="92" t="str">
        <f>IF(ISNA(VLOOKUP(Tableau13[[#This Row],[Code]],'Code Véhicule'!$A$4:$D$185,4,0))," ",VLOOKUP(Tableau13[[#This Row],[Code]],'Code Véhicule'!$A$4:$D$185,4,0))</f>
        <v>22300-A-73</v>
      </c>
      <c r="F1152" s="92"/>
      <c r="G1152" s="38" t="s">
        <v>1752</v>
      </c>
      <c r="H1152" s="38" t="s">
        <v>2273</v>
      </c>
      <c r="I1152" s="36" t="s">
        <v>304</v>
      </c>
      <c r="J1152" s="39" t="s">
        <v>2274</v>
      </c>
      <c r="K1152" s="92"/>
      <c r="L1152" s="96">
        <v>570</v>
      </c>
      <c r="M1152" s="96">
        <v>570</v>
      </c>
      <c r="N1152" s="97">
        <v>45134</v>
      </c>
      <c r="O1152" s="98"/>
      <c r="P1152" s="98"/>
      <c r="Q1152" s="177" t="e">
        <f>MONTH([1]!Tableau13[[#This Row],[Date début]])</f>
        <v>#REF!</v>
      </c>
      <c r="R1152" s="181" t="e">
        <f>YEAR([1]!Tableau13[[#This Row],[Date début]])</f>
        <v>#REF!</v>
      </c>
      <c r="S1152" s="44"/>
      <c r="T1152" s="44"/>
    </row>
    <row r="1153" spans="1:20" s="75" customFormat="1" ht="30">
      <c r="A1153" s="91">
        <v>45135</v>
      </c>
      <c r="B1153" s="92">
        <v>407</v>
      </c>
      <c r="C1153" s="93" t="str">
        <f>IF(ISNA(VLOOKUP(Tableau13[[#This Row],[Code]],'Code Véhicule'!$A$4:$C$185,2,0)),"",VLOOKUP(Tableau13[[#This Row],[Code]],'Code Véhicule'!$A$4:$C$185,2,0))</f>
        <v>Semi remorque</v>
      </c>
      <c r="D1153" s="94" t="str">
        <f>IF(ISNA(VLOOKUP(Tableau13[[#This Row],[Code]],'Code Véhicule'!$A$4:$C$185,3,0)),"",VLOOKUP(Tableau13[[#This Row],[Code]],'Code Véhicule'!$A$4:$C$185,3,0))</f>
        <v>MAN</v>
      </c>
      <c r="E1153" s="92" t="str">
        <f>IF(ISNA(VLOOKUP(Tableau13[[#This Row],[Code]],'Code Véhicule'!$A$4:$D$185,4,0))," ",VLOOKUP(Tableau13[[#This Row],[Code]],'Code Véhicule'!$A$4:$D$185,4,0))</f>
        <v>706-A-73</v>
      </c>
      <c r="F1153" s="92"/>
      <c r="G1153" s="38" t="s">
        <v>523</v>
      </c>
      <c r="H1153" s="38" t="s">
        <v>2237</v>
      </c>
      <c r="I1153" s="92"/>
      <c r="J1153" s="39" t="s">
        <v>2275</v>
      </c>
      <c r="K1153" s="92"/>
      <c r="L1153" s="96">
        <v>570</v>
      </c>
      <c r="M1153" s="96">
        <v>570</v>
      </c>
      <c r="N1153" s="97">
        <v>45135</v>
      </c>
      <c r="O1153" s="98"/>
      <c r="P1153" s="98"/>
      <c r="Q1153" s="177" t="e">
        <f>MONTH([1]!Tableau13[[#This Row],[Date début]])</f>
        <v>#REF!</v>
      </c>
      <c r="R1153" s="181" t="e">
        <f>YEAR([1]!Tableau13[[#This Row],[Date début]])</f>
        <v>#REF!</v>
      </c>
      <c r="S1153" s="44"/>
      <c r="T1153" s="44"/>
    </row>
    <row r="1154" spans="1:20" s="75" customFormat="1" ht="30">
      <c r="A1154" s="91">
        <v>45136</v>
      </c>
      <c r="B1154" s="92">
        <v>406</v>
      </c>
      <c r="C1154" s="93" t="str">
        <f>IF(ISNA(VLOOKUP(Tableau13[[#This Row],[Code]],'Code Véhicule'!$A$4:$C$185,2,0)),"",VLOOKUP(Tableau13[[#This Row],[Code]],'Code Véhicule'!$A$4:$C$185,2,0))</f>
        <v>Semi remorque</v>
      </c>
      <c r="D1154" s="94" t="str">
        <f>IF(ISNA(VLOOKUP(Tableau13[[#This Row],[Code]],'Code Véhicule'!$A$4:$C$185,3,0)),"",VLOOKUP(Tableau13[[#This Row],[Code]],'Code Véhicule'!$A$4:$C$185,3,0))</f>
        <v>VOLVO</v>
      </c>
      <c r="E1154" s="92" t="str">
        <f>IF(ISNA(VLOOKUP(Tableau13[[#This Row],[Code]],'Code Véhicule'!$A$4:$D$185,4,0))," ",VLOOKUP(Tableau13[[#This Row],[Code]],'Code Véhicule'!$A$4:$D$185,4,0))</f>
        <v>70352-A-6</v>
      </c>
      <c r="F1154" s="92"/>
      <c r="G1154" s="38" t="s">
        <v>2276</v>
      </c>
      <c r="H1154" s="38" t="s">
        <v>914</v>
      </c>
      <c r="I1154" s="36" t="s">
        <v>304</v>
      </c>
      <c r="J1154" s="39" t="s">
        <v>2277</v>
      </c>
      <c r="K1154" s="92"/>
      <c r="L1154" s="96">
        <v>570</v>
      </c>
      <c r="M1154" s="96">
        <v>570</v>
      </c>
      <c r="N1154" s="97">
        <v>45136</v>
      </c>
      <c r="O1154" s="98"/>
      <c r="P1154" s="98"/>
      <c r="Q1154" s="177" t="e">
        <f>MONTH([1]!Tableau13[[#This Row],[Date début]])</f>
        <v>#REF!</v>
      </c>
      <c r="R1154" s="181" t="e">
        <f>YEAR([1]!Tableau13[[#This Row],[Date début]])</f>
        <v>#REF!</v>
      </c>
      <c r="S1154" s="44"/>
      <c r="T1154" s="44"/>
    </row>
    <row r="1155" spans="1:20" s="75" customFormat="1" ht="23.25">
      <c r="A1155" s="91">
        <v>45139</v>
      </c>
      <c r="B1155" s="92">
        <v>411</v>
      </c>
      <c r="C1155" s="93" t="str">
        <f>IF(ISNA(VLOOKUP(Tableau13[[#This Row],[Code]],'Code Véhicule'!$A$4:$C$185,2,0)),"",VLOOKUP(Tableau13[[#This Row],[Code]],'Code Véhicule'!$A$4:$C$185,2,0))</f>
        <v>Camion</v>
      </c>
      <c r="D1155" s="94" t="str">
        <f>IF(ISNA(VLOOKUP(Tableau13[[#This Row],[Code]],'Code Véhicule'!$A$4:$C$185,3,0)),"",VLOOKUP(Tableau13[[#This Row],[Code]],'Code Véhicule'!$A$4:$C$185,3,0))</f>
        <v>Renault</v>
      </c>
      <c r="E1155" s="92" t="str">
        <f>IF(ISNA(VLOOKUP(Tableau13[[#This Row],[Code]],'Code Véhicule'!$A$4:$D$185,4,0))," ",VLOOKUP(Tableau13[[#This Row],[Code]],'Code Véhicule'!$A$4:$D$185,4,0))</f>
        <v>25636-A-13</v>
      </c>
      <c r="F1155" s="92"/>
      <c r="G1155" s="38" t="s">
        <v>610</v>
      </c>
      <c r="H1155" s="38" t="s">
        <v>2278</v>
      </c>
      <c r="I1155" s="36" t="s">
        <v>304</v>
      </c>
      <c r="J1155" s="39" t="s">
        <v>2279</v>
      </c>
      <c r="K1155" s="92"/>
      <c r="L1155" s="96">
        <f>570*4</f>
        <v>2280</v>
      </c>
      <c r="M1155" s="96">
        <f>570*6</f>
        <v>3420</v>
      </c>
      <c r="N1155" s="97">
        <v>45144</v>
      </c>
      <c r="O1155" s="98"/>
      <c r="P1155" s="98"/>
      <c r="Q1155" s="177" t="e">
        <f>MONTH([1]!Tableau13[[#This Row],[Date début]])</f>
        <v>#REF!</v>
      </c>
      <c r="R1155" s="181" t="e">
        <f>YEAR([1]!Tableau13[[#This Row],[Date début]])</f>
        <v>#REF!</v>
      </c>
      <c r="S1155" s="44"/>
      <c r="T1155" s="44"/>
    </row>
    <row r="1156" spans="1:20" s="75" customFormat="1" ht="23.25">
      <c r="A1156" s="91">
        <v>45139</v>
      </c>
      <c r="B1156" s="92">
        <v>417</v>
      </c>
      <c r="C1156" s="93" t="str">
        <f>IF(ISNA(VLOOKUP(Tableau13[[#This Row],[Code]],'Code Véhicule'!$A$4:$C$185,2,0)),"",VLOOKUP(Tableau13[[#This Row],[Code]],'Code Véhicule'!$A$4:$C$185,2,0))</f>
        <v>Voiture de fonction</v>
      </c>
      <c r="D1156" s="94" t="str">
        <f>IF(ISNA(VLOOKUP(Tableau13[[#This Row],[Code]],'Code Véhicule'!$A$4:$C$185,3,0)),"",VLOOKUP(Tableau13[[#This Row],[Code]],'Code Véhicule'!$A$4:$C$185,3,0))</f>
        <v>Berlingo</v>
      </c>
      <c r="E1156" s="92" t="str">
        <f>IF(ISNA(VLOOKUP(Tableau13[[#This Row],[Code]],'Code Véhicule'!$A$4:$D$185,4,0))," ",VLOOKUP(Tableau13[[#This Row],[Code]],'Code Véhicule'!$A$4:$D$185,4,0))</f>
        <v>981-A-73</v>
      </c>
      <c r="F1156" s="92"/>
      <c r="G1156" s="38" t="s">
        <v>545</v>
      </c>
      <c r="H1156" s="38" t="s">
        <v>620</v>
      </c>
      <c r="I1156" s="36" t="s">
        <v>304</v>
      </c>
      <c r="J1156" s="39" t="s">
        <v>2280</v>
      </c>
      <c r="K1156" s="92"/>
      <c r="L1156" s="96">
        <v>5700</v>
      </c>
      <c r="M1156" s="96">
        <v>5700</v>
      </c>
      <c r="N1156" s="97">
        <v>45153</v>
      </c>
      <c r="O1156" s="98"/>
      <c r="P1156" s="98"/>
      <c r="Q1156" s="177" t="e">
        <f>MONTH([1]!Tableau13[[#This Row],[Date début]])</f>
        <v>#REF!</v>
      </c>
      <c r="R1156" s="181" t="e">
        <f>YEAR([1]!Tableau13[[#This Row],[Date début]])</f>
        <v>#REF!</v>
      </c>
      <c r="S1156" s="44"/>
      <c r="T1156" s="44"/>
    </row>
    <row r="1157" spans="1:20" s="75" customFormat="1" ht="30">
      <c r="A1157" s="91">
        <v>45140</v>
      </c>
      <c r="B1157" s="92">
        <v>480</v>
      </c>
      <c r="C1157" s="93" t="str">
        <f>IF(ISNA(VLOOKUP(Tableau13[[#This Row],[Code]],'Code Véhicule'!$A$4:$C$185,2,0)),"",VLOOKUP(Tableau13[[#This Row],[Code]],'Code Véhicule'!$A$4:$C$185,2,0))</f>
        <v>Camion</v>
      </c>
      <c r="D1157" s="94" t="str">
        <f>IF(ISNA(VLOOKUP(Tableau13[[#This Row],[Code]],'Code Véhicule'!$A$4:$C$185,3,0)),"",VLOOKUP(Tableau13[[#This Row],[Code]],'Code Véhicule'!$A$4:$C$185,3,0))</f>
        <v>VOLVO</v>
      </c>
      <c r="E1157" s="92" t="str">
        <f>IF(ISNA(VLOOKUP(Tableau13[[#This Row],[Code]],'Code Véhicule'!$A$4:$D$185,4,0))," ",VLOOKUP(Tableau13[[#This Row],[Code]],'Code Véhicule'!$A$4:$D$185,4,0))</f>
        <v>22299-A-73</v>
      </c>
      <c r="F1157" s="92"/>
      <c r="G1157" s="38" t="s">
        <v>2094</v>
      </c>
      <c r="H1157" s="38" t="s">
        <v>2095</v>
      </c>
      <c r="I1157" s="36" t="s">
        <v>304</v>
      </c>
      <c r="J1157" s="39" t="s">
        <v>2281</v>
      </c>
      <c r="K1157" s="92"/>
      <c r="L1157" s="96">
        <v>2280</v>
      </c>
      <c r="M1157" s="96">
        <v>2280</v>
      </c>
      <c r="N1157" s="97">
        <v>45144</v>
      </c>
      <c r="O1157" s="98"/>
      <c r="P1157" s="98"/>
      <c r="Q1157" s="177" t="e">
        <f>MONTH([1]!Tableau13[[#This Row],[Date début]])</f>
        <v>#REF!</v>
      </c>
      <c r="R1157" s="181" t="e">
        <f>YEAR([1]!Tableau13[[#This Row],[Date début]])</f>
        <v>#REF!</v>
      </c>
      <c r="S1157" s="44"/>
      <c r="T1157" s="44"/>
    </row>
    <row r="1158" spans="1:20" s="75" customFormat="1" ht="23.25">
      <c r="A1158" s="91">
        <v>45141</v>
      </c>
      <c r="B1158" s="92">
        <v>407</v>
      </c>
      <c r="C1158" s="93" t="str">
        <f>IF(ISNA(VLOOKUP(Tableau13[[#This Row],[Code]],'Code Véhicule'!$A$4:$C$185,2,0)),"",VLOOKUP(Tableau13[[#This Row],[Code]],'Code Véhicule'!$A$4:$C$185,2,0))</f>
        <v>Semi remorque</v>
      </c>
      <c r="D1158" s="94" t="str">
        <f>IF(ISNA(VLOOKUP(Tableau13[[#This Row],[Code]],'Code Véhicule'!$A$4:$C$185,3,0)),"",VLOOKUP(Tableau13[[#This Row],[Code]],'Code Véhicule'!$A$4:$C$185,3,0))</f>
        <v>MAN</v>
      </c>
      <c r="E1158" s="92" t="str">
        <f>IF(ISNA(VLOOKUP(Tableau13[[#This Row],[Code]],'Code Véhicule'!$A$4:$D$185,4,0))," ",VLOOKUP(Tableau13[[#This Row],[Code]],'Code Véhicule'!$A$4:$D$185,4,0))</f>
        <v>706-A-73</v>
      </c>
      <c r="F1158" s="92"/>
      <c r="G1158" s="38" t="s">
        <v>2094</v>
      </c>
      <c r="H1158" s="38" t="s">
        <v>2095</v>
      </c>
      <c r="I1158" s="36" t="s">
        <v>304</v>
      </c>
      <c r="J1158" s="39" t="s">
        <v>2282</v>
      </c>
      <c r="K1158" s="36"/>
      <c r="L1158" s="96">
        <v>570</v>
      </c>
      <c r="M1158" s="96">
        <v>570</v>
      </c>
      <c r="N1158" s="97">
        <v>45141</v>
      </c>
      <c r="O1158" s="98"/>
      <c r="P1158" s="98"/>
      <c r="Q1158" s="177" t="e">
        <f>MONTH([1]!Tableau13[[#This Row],[Date début]])</f>
        <v>#REF!</v>
      </c>
      <c r="R1158" s="181" t="e">
        <f>YEAR([1]!Tableau13[[#This Row],[Date début]])</f>
        <v>#REF!</v>
      </c>
      <c r="S1158" s="44"/>
      <c r="T1158" s="44"/>
    </row>
    <row r="1159" spans="1:20" s="75" customFormat="1" ht="30">
      <c r="A1159" s="91">
        <v>45141</v>
      </c>
      <c r="B1159" s="92">
        <v>406</v>
      </c>
      <c r="C1159" s="93" t="str">
        <f>IF(ISNA(VLOOKUP(Tableau13[[#This Row],[Code]],'Code Véhicule'!$A$4:$C$185,2,0)),"",VLOOKUP(Tableau13[[#This Row],[Code]],'Code Véhicule'!$A$4:$C$185,2,0))</f>
        <v>Semi remorque</v>
      </c>
      <c r="D1159" s="94" t="str">
        <f>IF(ISNA(VLOOKUP(Tableau13[[#This Row],[Code]],'Code Véhicule'!$A$4:$C$185,3,0)),"",VLOOKUP(Tableau13[[#This Row],[Code]],'Code Véhicule'!$A$4:$C$185,3,0))</f>
        <v>VOLVO</v>
      </c>
      <c r="E1159" s="92" t="str">
        <f>IF(ISNA(VLOOKUP(Tableau13[[#This Row],[Code]],'Code Véhicule'!$A$4:$D$185,4,0))," ",VLOOKUP(Tableau13[[#This Row],[Code]],'Code Véhicule'!$A$4:$D$185,4,0))</f>
        <v>70352-A-6</v>
      </c>
      <c r="F1159" s="92"/>
      <c r="G1159" s="38" t="s">
        <v>2283</v>
      </c>
      <c r="H1159" s="38" t="s">
        <v>914</v>
      </c>
      <c r="I1159" s="36" t="s">
        <v>304</v>
      </c>
      <c r="J1159" s="39" t="s">
        <v>2284</v>
      </c>
      <c r="K1159" s="92"/>
      <c r="L1159" s="96">
        <v>1140</v>
      </c>
      <c r="M1159" s="96">
        <v>1140</v>
      </c>
      <c r="N1159" s="97">
        <v>45143</v>
      </c>
      <c r="O1159" s="98"/>
      <c r="P1159" s="98"/>
      <c r="Q1159" s="177" t="e">
        <f>MONTH([1]!Tableau13[[#This Row],[Date début]])</f>
        <v>#REF!</v>
      </c>
      <c r="R1159" s="181" t="e">
        <f>YEAR([1]!Tableau13[[#This Row],[Date début]])</f>
        <v>#REF!</v>
      </c>
      <c r="S1159" s="44"/>
      <c r="T1159" s="44"/>
    </row>
    <row r="1160" spans="1:20" s="75" customFormat="1" ht="45">
      <c r="A1160" s="91">
        <v>45144</v>
      </c>
      <c r="B1160" s="92">
        <v>429</v>
      </c>
      <c r="C1160" s="93" t="str">
        <f>IF(ISNA(VLOOKUP(Tableau13[[#This Row],[Code]],'Code Véhicule'!$A$4:$C$185,2,0)),"",VLOOKUP(Tableau13[[#This Row],[Code]],'Code Véhicule'!$A$4:$C$185,2,0))</f>
        <v>Chariot elevateur</v>
      </c>
      <c r="D1160" s="94" t="str">
        <f>IF(ISNA(VLOOKUP(Tableau13[[#This Row],[Code]],'Code Véhicule'!$A$4:$C$185,3,0)),"",VLOOKUP(Tableau13[[#This Row],[Code]],'Code Véhicule'!$A$4:$C$185,3,0))</f>
        <v>Fenwick HD30</v>
      </c>
      <c r="E1160" s="92" t="str">
        <f>IF(ISNA(VLOOKUP(Tableau13[[#This Row],[Code]],'Code Véhicule'!$A$4:$D$185,4,0))," ",VLOOKUP(Tableau13[[#This Row],[Code]],'Code Véhicule'!$A$4:$D$185,4,0))</f>
        <v>-</v>
      </c>
      <c r="F1160" s="92"/>
      <c r="G1160" s="38" t="s">
        <v>2097</v>
      </c>
      <c r="H1160" s="38" t="s">
        <v>2199</v>
      </c>
      <c r="I1160" s="36" t="s">
        <v>304</v>
      </c>
      <c r="J1160" s="39" t="s">
        <v>2285</v>
      </c>
      <c r="K1160" s="92"/>
      <c r="L1160" s="96">
        <v>11250</v>
      </c>
      <c r="M1160" s="96">
        <v>11250</v>
      </c>
      <c r="N1160" s="97">
        <v>45161</v>
      </c>
      <c r="O1160" s="98"/>
      <c r="P1160" s="98"/>
      <c r="Q1160" s="177" t="e">
        <f>MONTH([1]!Tableau13[[#This Row],[Date début]])</f>
        <v>#REF!</v>
      </c>
      <c r="R1160" s="181" t="e">
        <f>YEAR([1]!Tableau13[[#This Row],[Date début]])</f>
        <v>#REF!</v>
      </c>
      <c r="S1160" s="44"/>
      <c r="T1160" s="44"/>
    </row>
    <row r="1161" spans="1:20" s="75" customFormat="1" ht="60">
      <c r="A1161" s="91">
        <v>45146</v>
      </c>
      <c r="B1161" s="92">
        <v>408</v>
      </c>
      <c r="C1161" s="93" t="str">
        <f>IF(ISNA(VLOOKUP(Tableau13[[#This Row],[Code]],'Code Véhicule'!$A$4:$C$185,2,0)),"",VLOOKUP(Tableau13[[#This Row],[Code]],'Code Véhicule'!$A$4:$C$185,2,0))</f>
        <v>Camion</v>
      </c>
      <c r="D1161" s="94" t="str">
        <f>IF(ISNA(VLOOKUP(Tableau13[[#This Row],[Code]],'Code Véhicule'!$A$4:$C$185,3,0)),"",VLOOKUP(Tableau13[[#This Row],[Code]],'Code Véhicule'!$A$4:$C$185,3,0))</f>
        <v>Mitsubishi</v>
      </c>
      <c r="E1161" s="92" t="str">
        <f>IF(ISNA(VLOOKUP(Tableau13[[#This Row],[Code]],'Code Véhicule'!$A$4:$D$185,4,0))," ",VLOOKUP(Tableau13[[#This Row],[Code]],'Code Véhicule'!$A$4:$D$185,4,0))</f>
        <v>4703-A-73</v>
      </c>
      <c r="F1161" s="92"/>
      <c r="G1161" s="38" t="s">
        <v>610</v>
      </c>
      <c r="H1161" s="38" t="s">
        <v>1873</v>
      </c>
      <c r="I1161" s="36" t="s">
        <v>304</v>
      </c>
      <c r="J1161" s="39" t="s">
        <v>2287</v>
      </c>
      <c r="K1161" s="92"/>
      <c r="L1161" s="96">
        <v>5700</v>
      </c>
      <c r="M1161" s="96">
        <v>570</v>
      </c>
      <c r="N1161" s="97">
        <v>45160</v>
      </c>
      <c r="O1161" s="98"/>
      <c r="P1161" s="98"/>
      <c r="Q1161" s="177" t="e">
        <f>MONTH([1]!Tableau13[[#This Row],[Date début]])</f>
        <v>#REF!</v>
      </c>
      <c r="R1161" s="181" t="e">
        <f>YEAR([1]!Tableau13[[#This Row],[Date début]])</f>
        <v>#REF!</v>
      </c>
      <c r="S1161" s="44"/>
      <c r="T1161" s="44"/>
    </row>
    <row r="1162" spans="1:20" s="75" customFormat="1" ht="23.25">
      <c r="A1162" s="91">
        <v>45148</v>
      </c>
      <c r="B1162" s="92">
        <v>471</v>
      </c>
      <c r="C1162" s="93" t="str">
        <f>IF(ISNA(VLOOKUP(Tableau13[[#This Row],[Code]],'Code Véhicule'!$A$4:$C$185,2,0)),"",VLOOKUP(Tableau13[[#This Row],[Code]],'Code Véhicule'!$A$4:$C$185,2,0))</f>
        <v>Bus de transport</v>
      </c>
      <c r="D1162" s="94" t="str">
        <f>IF(ISNA(VLOOKUP(Tableau13[[#This Row],[Code]],'Code Véhicule'!$A$4:$C$185,3,0)),"",VLOOKUP(Tableau13[[#This Row],[Code]],'Code Véhicule'!$A$4:$C$185,3,0))</f>
        <v xml:space="preserve">Hyundai County </v>
      </c>
      <c r="E1162" s="92" t="str">
        <f>IF(ISNA(VLOOKUP(Tableau13[[#This Row],[Code]],'Code Véhicule'!$A$4:$D$185,4,0))," ",VLOOKUP(Tableau13[[#This Row],[Code]],'Code Véhicule'!$A$4:$D$185,4,0))</f>
        <v>18516-A-73</v>
      </c>
      <c r="F1162" s="92"/>
      <c r="G1162" s="38" t="s">
        <v>2142</v>
      </c>
      <c r="H1162" s="38" t="s">
        <v>1245</v>
      </c>
      <c r="I1162" s="36" t="s">
        <v>304</v>
      </c>
      <c r="J1162" s="39" t="s">
        <v>2286</v>
      </c>
      <c r="K1162" s="92"/>
      <c r="L1162" s="96">
        <v>1140</v>
      </c>
      <c r="M1162" s="96">
        <v>1140</v>
      </c>
      <c r="N1162" s="97">
        <v>45151</v>
      </c>
      <c r="O1162" s="98"/>
      <c r="P1162" s="98"/>
      <c r="Q1162" s="177" t="e">
        <f>MONTH([1]!Tableau13[[#This Row],[Date début]])</f>
        <v>#REF!</v>
      </c>
      <c r="R1162" s="181" t="e">
        <f>YEAR([1]!Tableau13[[#This Row],[Date début]])</f>
        <v>#REF!</v>
      </c>
      <c r="S1162" s="44"/>
      <c r="T1162" s="44"/>
    </row>
    <row r="1163" spans="1:20" s="75" customFormat="1" ht="30">
      <c r="A1163" s="91">
        <v>45149</v>
      </c>
      <c r="B1163" s="92">
        <v>435</v>
      </c>
      <c r="C1163" s="93" t="str">
        <f>IF(ISNA(VLOOKUP(Tableau13[[#This Row],[Code]],'Code Véhicule'!$A$4:$C$185,2,0)),"",VLOOKUP(Tableau13[[#This Row],[Code]],'Code Véhicule'!$A$4:$C$185,2,0))</f>
        <v>Camion</v>
      </c>
      <c r="D1163" s="94" t="str">
        <f>IF(ISNA(VLOOKUP(Tableau13[[#This Row],[Code]],'Code Véhicule'!$A$4:$C$185,3,0)),"",VLOOKUP(Tableau13[[#This Row],[Code]],'Code Véhicule'!$A$4:$C$185,3,0))</f>
        <v>Mitsubishi</v>
      </c>
      <c r="E1163" s="92" t="str">
        <f>IF(ISNA(VLOOKUP(Tableau13[[#This Row],[Code]],'Code Véhicule'!$A$4:$D$185,4,0))," ",VLOOKUP(Tableau13[[#This Row],[Code]],'Code Véhicule'!$A$4:$D$185,4,0))</f>
        <v xml:space="preserve"> 11469-A-73</v>
      </c>
      <c r="F1163" s="92"/>
      <c r="G1163" s="38" t="s">
        <v>2288</v>
      </c>
      <c r="H1163" s="38" t="s">
        <v>2289</v>
      </c>
      <c r="I1163" s="36" t="s">
        <v>304</v>
      </c>
      <c r="J1163" s="39" t="s">
        <v>2290</v>
      </c>
      <c r="K1163" s="92"/>
      <c r="L1163" s="96">
        <v>1140</v>
      </c>
      <c r="M1163" s="96">
        <v>1140</v>
      </c>
      <c r="N1163" s="97">
        <v>45151</v>
      </c>
      <c r="O1163" s="98"/>
      <c r="P1163" s="98"/>
      <c r="Q1163" s="177" t="e">
        <f>MONTH([1]!Tableau13[[#This Row],[Date début]])</f>
        <v>#REF!</v>
      </c>
      <c r="R1163" s="181" t="e">
        <f>YEAR([1]!Tableau13[[#This Row],[Date début]])</f>
        <v>#REF!</v>
      </c>
      <c r="S1163" s="44"/>
      <c r="T1163" s="44"/>
    </row>
    <row r="1164" spans="1:20" s="75" customFormat="1" ht="30">
      <c r="A1164" s="91">
        <v>45153</v>
      </c>
      <c r="B1164" s="92">
        <v>403</v>
      </c>
      <c r="C1164" s="93" t="str">
        <f>IF(ISNA(VLOOKUP(Tableau13[[#This Row],[Code]],'Code Véhicule'!$A$4:$C$185,2,0)),"",VLOOKUP(Tableau13[[#This Row],[Code]],'Code Véhicule'!$A$4:$C$185,2,0))</f>
        <v>Camion</v>
      </c>
      <c r="D1164" s="94" t="str">
        <f>IF(ISNA(VLOOKUP(Tableau13[[#This Row],[Code]],'Code Véhicule'!$A$4:$C$185,3,0)),"",VLOOKUP(Tableau13[[#This Row],[Code]],'Code Véhicule'!$A$4:$C$185,3,0))</f>
        <v>MAN</v>
      </c>
      <c r="E1164" s="92" t="str">
        <f>IF(ISNA(VLOOKUP(Tableau13[[#This Row],[Code]],'Code Véhicule'!$A$4:$D$185,4,0))," ",VLOOKUP(Tableau13[[#This Row],[Code]],'Code Véhicule'!$A$4:$D$185,4,0))</f>
        <v>4790-B-8</v>
      </c>
      <c r="F1164" s="92"/>
      <c r="G1164" s="38" t="s">
        <v>1323</v>
      </c>
      <c r="H1164" s="38" t="s">
        <v>2293</v>
      </c>
      <c r="I1164" s="36" t="s">
        <v>304</v>
      </c>
      <c r="J1164" s="39" t="s">
        <v>2294</v>
      </c>
      <c r="K1164" s="92"/>
      <c r="L1164" s="96">
        <v>5700</v>
      </c>
      <c r="M1164" s="96">
        <v>5700</v>
      </c>
      <c r="N1164" s="97">
        <v>45163</v>
      </c>
      <c r="O1164" s="98"/>
      <c r="P1164" s="98"/>
      <c r="Q1164" s="177" t="e">
        <f>MONTH([1]!Tableau13[[#This Row],[Date début]])</f>
        <v>#REF!</v>
      </c>
      <c r="R1164" s="181" t="e">
        <f>YEAR([1]!Tableau13[[#This Row],[Date début]])</f>
        <v>#REF!</v>
      </c>
      <c r="S1164" s="44"/>
      <c r="T1164" s="44"/>
    </row>
    <row r="1165" spans="1:20" s="75" customFormat="1" ht="30">
      <c r="A1165" s="91">
        <v>45160</v>
      </c>
      <c r="B1165" s="92">
        <v>480</v>
      </c>
      <c r="C1165" s="93" t="str">
        <f>IF(ISNA(VLOOKUP(Tableau13[[#This Row],[Code]],'Code Véhicule'!$A$4:$C$185,2,0)),"",VLOOKUP(Tableau13[[#This Row],[Code]],'Code Véhicule'!$A$4:$C$185,2,0))</f>
        <v>Camion</v>
      </c>
      <c r="D1165" s="94" t="str">
        <f>IF(ISNA(VLOOKUP(Tableau13[[#This Row],[Code]],'Code Véhicule'!$A$4:$C$185,3,0)),"",VLOOKUP(Tableau13[[#This Row],[Code]],'Code Véhicule'!$A$4:$C$185,3,0))</f>
        <v>VOLVO</v>
      </c>
      <c r="E1165" s="92" t="str">
        <f>IF(ISNA(VLOOKUP(Tableau13[[#This Row],[Code]],'Code Véhicule'!$A$4:$D$185,4,0))," ",VLOOKUP(Tableau13[[#This Row],[Code]],'Code Véhicule'!$A$4:$D$185,4,0))</f>
        <v>22299-A-73</v>
      </c>
      <c r="F1165" s="92"/>
      <c r="G1165" s="38" t="s">
        <v>523</v>
      </c>
      <c r="H1165" s="38" t="s">
        <v>2291</v>
      </c>
      <c r="I1165" s="36" t="s">
        <v>304</v>
      </c>
      <c r="J1165" s="39" t="s">
        <v>2292</v>
      </c>
      <c r="K1165" s="92"/>
      <c r="L1165" s="96">
        <v>570</v>
      </c>
      <c r="M1165" s="96">
        <v>570</v>
      </c>
      <c r="N1165" s="97">
        <v>45161</v>
      </c>
      <c r="O1165" s="98"/>
      <c r="P1165" s="98"/>
      <c r="Q1165" s="177" t="e">
        <f>MONTH([1]!Tableau13[[#This Row],[Date début]])</f>
        <v>#REF!</v>
      </c>
      <c r="R1165" s="181" t="e">
        <f>YEAR([1]!Tableau13[[#This Row],[Date début]])</f>
        <v>#REF!</v>
      </c>
      <c r="S1165" s="44"/>
      <c r="T1165" s="44"/>
    </row>
    <row r="1166" spans="1:20" s="75" customFormat="1" ht="30">
      <c r="A1166" s="91">
        <v>45161</v>
      </c>
      <c r="B1166" s="92">
        <v>410</v>
      </c>
      <c r="C1166" s="93" t="str">
        <f>IF(ISNA(VLOOKUP(Tableau13[[#This Row],[Code]],'Code Véhicule'!$A$4:$C$185,2,0)),"",VLOOKUP(Tableau13[[#This Row],[Code]],'Code Véhicule'!$A$4:$C$185,2,0))</f>
        <v>Semi remorque</v>
      </c>
      <c r="D1166" s="94" t="str">
        <f>IF(ISNA(VLOOKUP(Tableau13[[#This Row],[Code]],'Code Véhicule'!$A$4:$C$185,3,0)),"",VLOOKUP(Tableau13[[#This Row],[Code]],'Code Véhicule'!$A$4:$C$185,3,0))</f>
        <v>MAN</v>
      </c>
      <c r="E1166" s="92" t="str">
        <f>IF(ISNA(VLOOKUP(Tableau13[[#This Row],[Code]],'Code Véhicule'!$A$4:$D$185,4,0))," ",VLOOKUP(Tableau13[[#This Row],[Code]],'Code Véhicule'!$A$4:$D$185,4,0))</f>
        <v xml:space="preserve">28659-D-1 </v>
      </c>
      <c r="F1166" s="92"/>
      <c r="G1166" s="38" t="s">
        <v>2283</v>
      </c>
      <c r="H1166" s="38" t="s">
        <v>1743</v>
      </c>
      <c r="I1166" s="36" t="s">
        <v>304</v>
      </c>
      <c r="J1166" s="39" t="s">
        <v>2295</v>
      </c>
      <c r="K1166" s="92"/>
      <c r="L1166" s="96">
        <v>570</v>
      </c>
      <c r="M1166" s="96">
        <v>570</v>
      </c>
      <c r="N1166" s="97">
        <v>45161</v>
      </c>
      <c r="O1166" s="98"/>
      <c r="P1166" s="98"/>
      <c r="Q1166" s="177" t="e">
        <f>MONTH([1]!Tableau13[[#This Row],[Date début]])</f>
        <v>#REF!</v>
      </c>
      <c r="R1166" s="181" t="e">
        <f>YEAR([1]!Tableau13[[#This Row],[Date début]])</f>
        <v>#REF!</v>
      </c>
      <c r="S1166" s="44"/>
      <c r="T1166" s="44"/>
    </row>
    <row r="1167" spans="1:20" s="75" customFormat="1" ht="23.25">
      <c r="A1167" s="91">
        <v>45163</v>
      </c>
      <c r="B1167" s="92">
        <v>430</v>
      </c>
      <c r="C1167" s="93" t="str">
        <f>IF(ISNA(VLOOKUP(Tableau13[[#This Row],[Code]],'Code Véhicule'!$A$4:$C$185,2,0)),"",VLOOKUP(Tableau13[[#This Row],[Code]],'Code Véhicule'!$A$4:$C$185,2,0))</f>
        <v>Chariot elevateur</v>
      </c>
      <c r="D1167" s="94" t="str">
        <f>IF(ISNA(VLOOKUP(Tableau13[[#This Row],[Code]],'Code Véhicule'!$A$4:$C$185,3,0)),"",VLOOKUP(Tableau13[[#This Row],[Code]],'Code Véhicule'!$A$4:$C$185,3,0))</f>
        <v>Fenwick  H40</v>
      </c>
      <c r="E1167" s="92" t="str">
        <f>IF(ISNA(VLOOKUP(Tableau13[[#This Row],[Code]],'Code Véhicule'!$A$4:$D$185,4,0))," ",VLOOKUP(Tableau13[[#This Row],[Code]],'Code Véhicule'!$A$4:$D$185,4,0))</f>
        <v>-</v>
      </c>
      <c r="F1167" s="92"/>
      <c r="G1167" s="38" t="s">
        <v>537</v>
      </c>
      <c r="H1167" s="38" t="s">
        <v>1031</v>
      </c>
      <c r="I1167" s="36" t="s">
        <v>304</v>
      </c>
      <c r="J1167" s="39" t="s">
        <v>1259</v>
      </c>
      <c r="K1167" s="92"/>
      <c r="L1167" s="96">
        <v>2280</v>
      </c>
      <c r="M1167" s="96">
        <v>2280</v>
      </c>
      <c r="N1167" s="97">
        <v>45167</v>
      </c>
      <c r="O1167" s="98"/>
      <c r="P1167" s="98"/>
      <c r="Q1167" s="177" t="e">
        <f>MONTH([1]!Tableau13[[#This Row],[Date début]])</f>
        <v>#REF!</v>
      </c>
      <c r="R1167" s="181" t="e">
        <f>YEAR([1]!Tableau13[[#This Row],[Date début]])</f>
        <v>#REF!</v>
      </c>
      <c r="S1167" s="44"/>
      <c r="T1167" s="44"/>
    </row>
    <row r="1168" spans="1:20" s="75" customFormat="1" ht="30">
      <c r="A1168" s="91">
        <v>45167</v>
      </c>
      <c r="B1168" s="92">
        <v>409</v>
      </c>
      <c r="C1168" s="93" t="str">
        <f>IF(ISNA(VLOOKUP(Tableau13[[#This Row],[Code]],'Code Véhicule'!$A$4:$C$185,2,0)),"",VLOOKUP(Tableau13[[#This Row],[Code]],'Code Véhicule'!$A$4:$C$185,2,0))</f>
        <v>Camion</v>
      </c>
      <c r="D1168" s="94" t="str">
        <f>IF(ISNA(VLOOKUP(Tableau13[[#This Row],[Code]],'Code Véhicule'!$A$4:$C$185,3,0)),"",VLOOKUP(Tableau13[[#This Row],[Code]],'Code Véhicule'!$A$4:$C$185,3,0))</f>
        <v>Mitsubishi</v>
      </c>
      <c r="E1168" s="92" t="str">
        <f>IF(ISNA(VLOOKUP(Tableau13[[#This Row],[Code]],'Code Véhicule'!$A$4:$D$185,4,0))," ",VLOOKUP(Tableau13[[#This Row],[Code]],'Code Véhicule'!$A$4:$D$185,4,0))</f>
        <v xml:space="preserve">4969-A-73 </v>
      </c>
      <c r="F1168" s="92"/>
      <c r="G1168" s="38" t="s">
        <v>661</v>
      </c>
      <c r="H1168" s="38" t="s">
        <v>2296</v>
      </c>
      <c r="I1168" s="36" t="s">
        <v>304</v>
      </c>
      <c r="J1168" s="39" t="s">
        <v>2297</v>
      </c>
      <c r="K1168" s="92"/>
      <c r="L1168" s="96">
        <v>1710</v>
      </c>
      <c r="M1168" s="96">
        <v>1710</v>
      </c>
      <c r="N1168" s="97">
        <v>45169</v>
      </c>
      <c r="O1168" s="98"/>
      <c r="P1168" s="98"/>
      <c r="Q1168" s="177" t="e">
        <f>MONTH([1]!Tableau13[[#This Row],[Date début]])</f>
        <v>#REF!</v>
      </c>
      <c r="R1168" s="181" t="e">
        <f>YEAR([1]!Tableau13[[#This Row],[Date début]])</f>
        <v>#REF!</v>
      </c>
      <c r="S1168" s="44"/>
      <c r="T1168" s="44"/>
    </row>
    <row r="1169" spans="1:20" s="75" customFormat="1" ht="23.25">
      <c r="A1169" s="91">
        <v>45170</v>
      </c>
      <c r="B1169" s="92">
        <v>410</v>
      </c>
      <c r="C1169" s="93" t="str">
        <f>IF(ISNA(VLOOKUP(Tableau13[[#This Row],[Code]],'Code Véhicule'!$A$4:$C$185,2,0)),"",VLOOKUP(Tableau13[[#This Row],[Code]],'Code Véhicule'!$A$4:$C$185,2,0))</f>
        <v>Semi remorque</v>
      </c>
      <c r="D1169" s="94" t="str">
        <f>IF(ISNA(VLOOKUP(Tableau13[[#This Row],[Code]],'Code Véhicule'!$A$4:$C$185,3,0)),"",VLOOKUP(Tableau13[[#This Row],[Code]],'Code Véhicule'!$A$4:$C$185,3,0))</f>
        <v>MAN</v>
      </c>
      <c r="E1169" s="92" t="str">
        <f>IF(ISNA(VLOOKUP(Tableau13[[#This Row],[Code]],'Code Véhicule'!$A$4:$D$185,4,0))," ",VLOOKUP(Tableau13[[#This Row],[Code]],'Code Véhicule'!$A$4:$D$185,4,0))</f>
        <v xml:space="preserve">28659-D-1 </v>
      </c>
      <c r="F1169" s="92"/>
      <c r="G1169" s="38" t="s">
        <v>2094</v>
      </c>
      <c r="H1169" s="38" t="s">
        <v>2095</v>
      </c>
      <c r="I1169" s="36" t="s">
        <v>304</v>
      </c>
      <c r="J1169" s="39" t="s">
        <v>2298</v>
      </c>
      <c r="K1169" s="92"/>
      <c r="L1169" s="96">
        <f>570*6</f>
        <v>3420</v>
      </c>
      <c r="M1169" s="96">
        <v>3420</v>
      </c>
      <c r="N1169" s="97">
        <v>45176</v>
      </c>
      <c r="O1169" s="98"/>
      <c r="P1169" s="98"/>
      <c r="Q1169" s="177" t="e">
        <f>MONTH([1]!Tableau13[[#This Row],[Date début]])</f>
        <v>#REF!</v>
      </c>
      <c r="R1169" s="181" t="e">
        <f>YEAR([1]!Tableau13[[#This Row],[Date début]])</f>
        <v>#REF!</v>
      </c>
      <c r="S1169" s="44"/>
      <c r="T1169" s="44"/>
    </row>
    <row r="1170" spans="1:20" s="75" customFormat="1" ht="23.25">
      <c r="A1170" s="91">
        <v>45170</v>
      </c>
      <c r="B1170" s="92">
        <v>403</v>
      </c>
      <c r="C1170" s="93" t="str">
        <f>IF(ISNA(VLOOKUP(Tableau13[[#This Row],[Code]],'Code Véhicule'!$A$4:$C$185,2,0)),"",VLOOKUP(Tableau13[[#This Row],[Code]],'Code Véhicule'!$A$4:$C$185,2,0))</f>
        <v>Camion</v>
      </c>
      <c r="D1170" s="94" t="str">
        <f>IF(ISNA(VLOOKUP(Tableau13[[#This Row],[Code]],'Code Véhicule'!$A$4:$C$185,3,0)),"",VLOOKUP(Tableau13[[#This Row],[Code]],'Code Véhicule'!$A$4:$C$185,3,0))</f>
        <v>MAN</v>
      </c>
      <c r="E1170" s="92" t="str">
        <f>IF(ISNA(VLOOKUP(Tableau13[[#This Row],[Code]],'Code Véhicule'!$A$4:$D$185,4,0))," ",VLOOKUP(Tableau13[[#This Row],[Code]],'Code Véhicule'!$A$4:$D$185,4,0))</f>
        <v>4790-B-8</v>
      </c>
      <c r="F1170" s="92"/>
      <c r="G1170" s="38" t="s">
        <v>2094</v>
      </c>
      <c r="H1170" s="38" t="s">
        <v>2095</v>
      </c>
      <c r="I1170" s="36" t="s">
        <v>304</v>
      </c>
      <c r="J1170" s="39" t="s">
        <v>2299</v>
      </c>
      <c r="K1170" s="92"/>
      <c r="L1170" s="96">
        <v>3990</v>
      </c>
      <c r="M1170" s="96">
        <v>3990</v>
      </c>
      <c r="N1170" s="97">
        <v>45179</v>
      </c>
      <c r="O1170" s="98"/>
      <c r="P1170" s="98"/>
      <c r="Q1170" s="177" t="e">
        <f>MONTH([1]!Tableau13[[#This Row],[Date début]])</f>
        <v>#REF!</v>
      </c>
      <c r="R1170" s="181" t="e">
        <f>YEAR([1]!Tableau13[[#This Row],[Date début]])</f>
        <v>#REF!</v>
      </c>
      <c r="S1170" s="44"/>
      <c r="T1170" s="44"/>
    </row>
    <row r="1171" spans="1:20" s="75" customFormat="1" ht="23.25">
      <c r="A1171" s="91">
        <v>45172</v>
      </c>
      <c r="B1171" s="92">
        <v>430</v>
      </c>
      <c r="C1171" s="93" t="str">
        <f>IF(ISNA(VLOOKUP(Tableau13[[#This Row],[Code]],'Code Véhicule'!$A$4:$C$185,2,0)),"",VLOOKUP(Tableau13[[#This Row],[Code]],'Code Véhicule'!$A$4:$C$185,2,0))</f>
        <v>Chariot elevateur</v>
      </c>
      <c r="D1171" s="94" t="str">
        <f>IF(ISNA(VLOOKUP(Tableau13[[#This Row],[Code]],'Code Véhicule'!$A$4:$C$185,3,0)),"",VLOOKUP(Tableau13[[#This Row],[Code]],'Code Véhicule'!$A$4:$C$185,3,0))</f>
        <v>Fenwick  H40</v>
      </c>
      <c r="E1171" s="92" t="str">
        <f>IF(ISNA(VLOOKUP(Tableau13[[#This Row],[Code]],'Code Véhicule'!$A$4:$D$185,4,0))," ",VLOOKUP(Tableau13[[#This Row],[Code]],'Code Véhicule'!$A$4:$D$185,4,0))</f>
        <v>-</v>
      </c>
      <c r="F1171" s="92"/>
      <c r="G1171" s="38" t="s">
        <v>2300</v>
      </c>
      <c r="H1171" s="38" t="s">
        <v>2093</v>
      </c>
      <c r="I1171" s="36" t="s">
        <v>304</v>
      </c>
      <c r="J1171" s="39" t="s">
        <v>758</v>
      </c>
      <c r="K1171" s="92"/>
      <c r="L1171" s="96">
        <f>570*10</f>
        <v>5700</v>
      </c>
      <c r="M1171" s="96">
        <v>5700</v>
      </c>
      <c r="N1171" s="97">
        <v>45183</v>
      </c>
      <c r="O1171" s="98"/>
      <c r="P1171" s="98"/>
      <c r="Q1171" s="177" t="e">
        <f>MONTH([1]!Tableau13[[#This Row],[Date début]])</f>
        <v>#REF!</v>
      </c>
      <c r="R1171" s="181" t="e">
        <f>YEAR([1]!Tableau13[[#This Row],[Date début]])</f>
        <v>#REF!</v>
      </c>
      <c r="S1171" s="44"/>
      <c r="T1171" s="44"/>
    </row>
    <row r="1172" spans="1:20" s="75" customFormat="1" ht="45">
      <c r="A1172" s="91">
        <v>45174</v>
      </c>
      <c r="B1172" s="92">
        <v>435</v>
      </c>
      <c r="C1172" s="93" t="str">
        <f>IF(ISNA(VLOOKUP(Tableau13[[#This Row],[Code]],'Code Véhicule'!$A$4:$C$185,2,0)),"",VLOOKUP(Tableau13[[#This Row],[Code]],'Code Véhicule'!$A$4:$C$185,2,0))</f>
        <v>Camion</v>
      </c>
      <c r="D1172" s="94" t="str">
        <f>IF(ISNA(VLOOKUP(Tableau13[[#This Row],[Code]],'Code Véhicule'!$A$4:$C$185,3,0)),"",VLOOKUP(Tableau13[[#This Row],[Code]],'Code Véhicule'!$A$4:$C$185,3,0))</f>
        <v>Mitsubishi</v>
      </c>
      <c r="E1172" s="92" t="str">
        <f>IF(ISNA(VLOOKUP(Tableau13[[#This Row],[Code]],'Code Véhicule'!$A$4:$D$185,4,0))," ",VLOOKUP(Tableau13[[#This Row],[Code]],'Code Véhicule'!$A$4:$D$185,4,0))</f>
        <v xml:space="preserve"> 11469-A-73</v>
      </c>
      <c r="F1172" s="92"/>
      <c r="G1172" s="38" t="s">
        <v>1848</v>
      </c>
      <c r="H1172" s="38" t="s">
        <v>2301</v>
      </c>
      <c r="I1172" s="36" t="s">
        <v>304</v>
      </c>
      <c r="J1172" s="39" t="s">
        <v>2302</v>
      </c>
      <c r="K1172" s="92"/>
      <c r="L1172" s="96">
        <v>2852</v>
      </c>
      <c r="M1172" s="96">
        <v>2850</v>
      </c>
      <c r="N1172" s="97">
        <v>45179</v>
      </c>
      <c r="O1172" s="98"/>
      <c r="P1172" s="98"/>
      <c r="Q1172" s="177" t="e">
        <f>MONTH([1]!Tableau13[[#This Row],[Date début]])</f>
        <v>#REF!</v>
      </c>
      <c r="R1172" s="181" t="e">
        <f>YEAR([1]!Tableau13[[#This Row],[Date début]])</f>
        <v>#REF!</v>
      </c>
      <c r="S1172" s="44"/>
      <c r="T1172" s="44"/>
    </row>
    <row r="1173" spans="1:20" s="75" customFormat="1" ht="30">
      <c r="A1173" s="91">
        <v>45181</v>
      </c>
      <c r="B1173" s="92">
        <v>408</v>
      </c>
      <c r="C1173" s="93" t="str">
        <f>IF(ISNA(VLOOKUP(Tableau13[[#This Row],[Code]],'Code Véhicule'!$A$4:$C$185,2,0)),"",VLOOKUP(Tableau13[[#This Row],[Code]],'Code Véhicule'!$A$4:$C$185,2,0))</f>
        <v>Camion</v>
      </c>
      <c r="D1173" s="94" t="str">
        <f>IF(ISNA(VLOOKUP(Tableau13[[#This Row],[Code]],'Code Véhicule'!$A$4:$C$185,3,0)),"",VLOOKUP(Tableau13[[#This Row],[Code]],'Code Véhicule'!$A$4:$C$185,3,0))</f>
        <v>Mitsubishi</v>
      </c>
      <c r="E1173" s="92" t="str">
        <f>IF(ISNA(VLOOKUP(Tableau13[[#This Row],[Code]],'Code Véhicule'!$A$4:$D$185,4,0))," ",VLOOKUP(Tableau13[[#This Row],[Code]],'Code Véhicule'!$A$4:$D$185,4,0))</f>
        <v>4703-A-73</v>
      </c>
      <c r="F1173" s="92"/>
      <c r="G1173" s="38" t="s">
        <v>2300</v>
      </c>
      <c r="H1173" s="38" t="s">
        <v>1017</v>
      </c>
      <c r="I1173" s="36" t="s">
        <v>304</v>
      </c>
      <c r="J1173" s="39" t="s">
        <v>1238</v>
      </c>
      <c r="K1173" s="92"/>
      <c r="L1173" s="96">
        <v>1140</v>
      </c>
      <c r="M1173" s="96">
        <v>1140</v>
      </c>
      <c r="N1173" s="97">
        <v>45183</v>
      </c>
      <c r="O1173" s="98"/>
      <c r="P1173" s="98"/>
      <c r="Q1173" s="177" t="e">
        <f>MONTH([1]!Tableau13[[#This Row],[Date début]])</f>
        <v>#REF!</v>
      </c>
      <c r="R1173" s="181" t="e">
        <f>YEAR([1]!Tableau13[[#This Row],[Date début]])</f>
        <v>#REF!</v>
      </c>
      <c r="S1173" s="44"/>
      <c r="T1173" s="44"/>
    </row>
    <row r="1174" spans="1:20" s="75" customFormat="1" ht="60">
      <c r="A1174" s="91">
        <v>45187</v>
      </c>
      <c r="B1174" s="92">
        <v>401</v>
      </c>
      <c r="C1174" s="93" t="str">
        <f>IF(ISNA(VLOOKUP(Tableau13[[#This Row],[Code]],'Code Véhicule'!$A$4:$C$185,2,0)),"",VLOOKUP(Tableau13[[#This Row],[Code]],'Code Véhicule'!$A$4:$C$185,2,0))</f>
        <v>Camion</v>
      </c>
      <c r="D1174" s="94" t="str">
        <f>IF(ISNA(VLOOKUP(Tableau13[[#This Row],[Code]],'Code Véhicule'!$A$4:$C$185,3,0)),"",VLOOKUP(Tableau13[[#This Row],[Code]],'Code Véhicule'!$A$4:$C$185,3,0))</f>
        <v>ISUZU</v>
      </c>
      <c r="E1174" s="92" t="str">
        <f>IF(ISNA(VLOOKUP(Tableau13[[#This Row],[Code]],'Code Véhicule'!$A$4:$D$185,4,0))," ",VLOOKUP(Tableau13[[#This Row],[Code]],'Code Véhicule'!$A$4:$D$185,4,0))</f>
        <v>26128-A-8</v>
      </c>
      <c r="F1174" s="92"/>
      <c r="G1174" s="38" t="s">
        <v>313</v>
      </c>
      <c r="H1174" s="38" t="s">
        <v>846</v>
      </c>
      <c r="I1174" s="36" t="s">
        <v>304</v>
      </c>
      <c r="J1174" s="39" t="s">
        <v>2303</v>
      </c>
      <c r="K1174" s="92"/>
      <c r="L1174" s="40">
        <v>5700</v>
      </c>
      <c r="M1174" s="96">
        <v>5700</v>
      </c>
      <c r="N1174" s="41">
        <v>45199</v>
      </c>
      <c r="O1174" s="98"/>
      <c r="P1174" s="98"/>
      <c r="Q1174" s="177" t="e">
        <f>MONTH([1]!Tableau13[[#This Row],[Date début]])</f>
        <v>#REF!</v>
      </c>
      <c r="R1174" s="181" t="e">
        <f>YEAR([1]!Tableau13[[#This Row],[Date début]])</f>
        <v>#REF!</v>
      </c>
      <c r="S1174" s="44"/>
      <c r="T1174" s="44"/>
    </row>
    <row r="1175" spans="1:20" s="75" customFormat="1" ht="23.25">
      <c r="A1175" s="91">
        <v>45191</v>
      </c>
      <c r="B1175" s="92">
        <v>403</v>
      </c>
      <c r="C1175" s="93" t="str">
        <f>IF(ISNA(VLOOKUP(Tableau13[[#This Row],[Code]],'Code Véhicule'!$A$4:$C$185,2,0)),"",VLOOKUP(Tableau13[[#This Row],[Code]],'Code Véhicule'!$A$4:$C$185,2,0))</f>
        <v>Camion</v>
      </c>
      <c r="D1175" s="94" t="str">
        <f>IF(ISNA(VLOOKUP(Tableau13[[#This Row],[Code]],'Code Véhicule'!$A$4:$C$185,3,0)),"",VLOOKUP(Tableau13[[#This Row],[Code]],'Code Véhicule'!$A$4:$C$185,3,0))</f>
        <v>MAN</v>
      </c>
      <c r="E1175" s="92" t="str">
        <f>IF(ISNA(VLOOKUP(Tableau13[[#This Row],[Code]],'Code Véhicule'!$A$4:$D$185,4,0))," ",VLOOKUP(Tableau13[[#This Row],[Code]],'Code Véhicule'!$A$4:$D$185,4,0))</f>
        <v>4790-B-8</v>
      </c>
      <c r="F1175" s="92"/>
      <c r="G1175" s="38" t="s">
        <v>2142</v>
      </c>
      <c r="H1175" s="38" t="s">
        <v>2060</v>
      </c>
      <c r="I1175" s="36" t="s">
        <v>304</v>
      </c>
      <c r="J1175" s="39" t="s">
        <v>2304</v>
      </c>
      <c r="K1175" s="92"/>
      <c r="L1175" s="96">
        <v>1140</v>
      </c>
      <c r="M1175" s="96">
        <v>1140</v>
      </c>
      <c r="N1175" s="97">
        <v>45193</v>
      </c>
      <c r="O1175" s="98"/>
      <c r="P1175" s="98"/>
      <c r="Q1175" s="177" t="e">
        <f>MONTH([1]!Tableau13[[#This Row],[Date début]])</f>
        <v>#REF!</v>
      </c>
      <c r="R1175" s="181" t="e">
        <f>YEAR([1]!Tableau13[[#This Row],[Date début]])</f>
        <v>#REF!</v>
      </c>
      <c r="S1175" s="44"/>
      <c r="T1175" s="44"/>
    </row>
    <row r="1176" spans="1:20" s="75" customFormat="1" ht="23.25">
      <c r="A1176" s="91">
        <v>45195</v>
      </c>
      <c r="B1176" s="92">
        <v>480</v>
      </c>
      <c r="C1176" s="93" t="str">
        <f>IF(ISNA(VLOOKUP(Tableau13[[#This Row],[Code]],'Code Véhicule'!$A$4:$C$185,2,0)),"",VLOOKUP(Tableau13[[#This Row],[Code]],'Code Véhicule'!$A$4:$C$185,2,0))</f>
        <v>Camion</v>
      </c>
      <c r="D1176" s="94" t="str">
        <f>IF(ISNA(VLOOKUP(Tableau13[[#This Row],[Code]],'Code Véhicule'!$A$4:$C$185,3,0)),"",VLOOKUP(Tableau13[[#This Row],[Code]],'Code Véhicule'!$A$4:$C$185,3,0))</f>
        <v>VOLVO</v>
      </c>
      <c r="E1176" s="92" t="str">
        <f>IF(ISNA(VLOOKUP(Tableau13[[#This Row],[Code]],'Code Véhicule'!$A$4:$D$185,4,0))," ",VLOOKUP(Tableau13[[#This Row],[Code]],'Code Véhicule'!$A$4:$D$185,4,0))</f>
        <v>22299-A-73</v>
      </c>
      <c r="F1176" s="92"/>
      <c r="G1176" s="38" t="s">
        <v>2094</v>
      </c>
      <c r="H1176" s="38" t="s">
        <v>2305</v>
      </c>
      <c r="I1176" s="36" t="s">
        <v>304</v>
      </c>
      <c r="J1176" s="39" t="s">
        <v>2306</v>
      </c>
      <c r="K1176" s="92"/>
      <c r="L1176" s="40">
        <v>3420</v>
      </c>
      <c r="M1176" s="96">
        <v>3420</v>
      </c>
      <c r="N1176" s="97">
        <v>45195</v>
      </c>
      <c r="O1176" s="98"/>
      <c r="P1176" s="98"/>
      <c r="Q1176" s="177" t="e">
        <f>MONTH([1]!Tableau13[[#This Row],[Date début]])</f>
        <v>#REF!</v>
      </c>
      <c r="R1176" s="181" t="e">
        <f>YEAR([1]!Tableau13[[#This Row],[Date début]])</f>
        <v>#REF!</v>
      </c>
      <c r="S1176" s="44"/>
      <c r="T1176" s="44"/>
    </row>
    <row r="1177" spans="1:20" s="75" customFormat="1" ht="30">
      <c r="A1177" s="91">
        <v>45200</v>
      </c>
      <c r="B1177" s="92"/>
      <c r="C1177" s="37" t="s">
        <v>2323</v>
      </c>
      <c r="D1177" s="94" t="str">
        <f>IF(ISNA(VLOOKUP(Tableau13[[#This Row],[Code]],'Code Véhicule'!$A$4:$C$185,3,0)),"",VLOOKUP(Tableau13[[#This Row],[Code]],'Code Véhicule'!$A$4:$C$185,3,0))</f>
        <v/>
      </c>
      <c r="E1177" s="92" t="str">
        <f>IF(ISNA(VLOOKUP(Tableau13[[#This Row],[Code]],'Code Véhicule'!$A$4:$D$185,4,0))," ",VLOOKUP(Tableau13[[#This Row],[Code]],'Code Véhicule'!$A$4:$D$185,4,0))</f>
        <v xml:space="preserve"> </v>
      </c>
      <c r="F1177" s="92"/>
      <c r="G1177" s="38" t="s">
        <v>2142</v>
      </c>
      <c r="H1177" s="38" t="s">
        <v>2324</v>
      </c>
      <c r="I1177" s="36" t="s">
        <v>304</v>
      </c>
      <c r="J1177" s="39" t="s">
        <v>2325</v>
      </c>
      <c r="K1177" s="92"/>
      <c r="L1177" s="96">
        <v>3420</v>
      </c>
      <c r="M1177" s="96">
        <v>3420</v>
      </c>
      <c r="N1177" s="97">
        <v>45206</v>
      </c>
      <c r="O1177" s="98"/>
      <c r="P1177" s="98"/>
      <c r="Q1177" s="177" t="e">
        <f>MONTH([1]!Tableau13[[#This Row],[Date début]])</f>
        <v>#REF!</v>
      </c>
      <c r="R1177" s="181" t="e">
        <f>YEAR([1]!Tableau13[[#This Row],[Date début]])</f>
        <v>#REF!</v>
      </c>
      <c r="S1177" s="44"/>
      <c r="T1177" s="44"/>
    </row>
    <row r="1178" spans="1:20" s="75" customFormat="1" ht="30">
      <c r="A1178" s="91">
        <v>45201</v>
      </c>
      <c r="B1178" s="92">
        <v>411</v>
      </c>
      <c r="C1178" s="93" t="str">
        <f>IF(ISNA(VLOOKUP(Tableau13[[#This Row],[Code]],'Code Véhicule'!$A$4:$C$185,2,0)),"",VLOOKUP(Tableau13[[#This Row],[Code]],'Code Véhicule'!$A$4:$C$185,2,0))</f>
        <v>Camion</v>
      </c>
      <c r="D1178" s="94" t="str">
        <f>IF(ISNA(VLOOKUP(Tableau13[[#This Row],[Code]],'Code Véhicule'!$A$4:$C$185,3,0)),"",VLOOKUP(Tableau13[[#This Row],[Code]],'Code Véhicule'!$A$4:$C$185,3,0))</f>
        <v>Renault</v>
      </c>
      <c r="E1178" s="92" t="str">
        <f>IF(ISNA(VLOOKUP(Tableau13[[#This Row],[Code]],'Code Véhicule'!$A$4:$D$185,4,0))," ",VLOOKUP(Tableau13[[#This Row],[Code]],'Code Véhicule'!$A$4:$D$185,4,0))</f>
        <v>25636-A-13</v>
      </c>
      <c r="F1178" s="92"/>
      <c r="G1178" s="38" t="s">
        <v>1013</v>
      </c>
      <c r="H1178" s="38" t="s">
        <v>2193</v>
      </c>
      <c r="I1178" s="36" t="s">
        <v>304</v>
      </c>
      <c r="J1178" s="39" t="s">
        <v>2326</v>
      </c>
      <c r="K1178" s="92"/>
      <c r="L1178" s="96">
        <v>1140</v>
      </c>
      <c r="M1178" s="96">
        <v>1140</v>
      </c>
      <c r="N1178" s="97">
        <v>45203</v>
      </c>
      <c r="O1178" s="98"/>
      <c r="P1178" s="98"/>
      <c r="Q1178" s="177" t="e">
        <f>MONTH([1]!Tableau13[[#This Row],[Date début]])</f>
        <v>#REF!</v>
      </c>
      <c r="R1178" s="181" t="e">
        <f>YEAR([1]!Tableau13[[#This Row],[Date début]])</f>
        <v>#REF!</v>
      </c>
      <c r="S1178" s="44"/>
      <c r="T1178" s="44"/>
    </row>
    <row r="1179" spans="1:20" s="75" customFormat="1" ht="30">
      <c r="A1179" s="91">
        <v>45203</v>
      </c>
      <c r="B1179" s="92">
        <v>407</v>
      </c>
      <c r="C1179" s="93" t="str">
        <f>IF(ISNA(VLOOKUP(Tableau13[[#This Row],[Code]],'Code Véhicule'!$A$4:$C$185,2,0)),"",VLOOKUP(Tableau13[[#This Row],[Code]],'Code Véhicule'!$A$4:$C$185,2,0))</f>
        <v>Semi remorque</v>
      </c>
      <c r="D1179" s="94" t="str">
        <f>IF(ISNA(VLOOKUP(Tableau13[[#This Row],[Code]],'Code Véhicule'!$A$4:$C$185,3,0)),"",VLOOKUP(Tableau13[[#This Row],[Code]],'Code Véhicule'!$A$4:$C$185,3,0))</f>
        <v>MAN</v>
      </c>
      <c r="E1179" s="92" t="str">
        <f>IF(ISNA(VLOOKUP(Tableau13[[#This Row],[Code]],'Code Véhicule'!$A$4:$D$185,4,0))," ",VLOOKUP(Tableau13[[#This Row],[Code]],'Code Véhicule'!$A$4:$D$185,4,0))</f>
        <v>706-A-73</v>
      </c>
      <c r="F1179" s="92"/>
      <c r="G1179" s="38" t="s">
        <v>2094</v>
      </c>
      <c r="H1179" s="38" t="s">
        <v>2095</v>
      </c>
      <c r="I1179" s="36" t="s">
        <v>304</v>
      </c>
      <c r="J1179" s="39" t="s">
        <v>2329</v>
      </c>
      <c r="K1179" s="92"/>
      <c r="L1179" s="96">
        <v>57000</v>
      </c>
      <c r="M1179" s="96">
        <f>570*10</f>
        <v>5700</v>
      </c>
      <c r="N1179" s="97">
        <v>45215</v>
      </c>
      <c r="O1179" s="98"/>
      <c r="P1179" s="98"/>
      <c r="Q1179" s="177" t="e">
        <f>MONTH([1]!Tableau13[[#This Row],[Date début]])</f>
        <v>#REF!</v>
      </c>
      <c r="R1179" s="181" t="e">
        <f>YEAR([1]!Tableau13[[#This Row],[Date début]])</f>
        <v>#REF!</v>
      </c>
      <c r="S1179" s="44"/>
      <c r="T1179" s="44"/>
    </row>
    <row r="1180" spans="1:20" s="75" customFormat="1" ht="23.25">
      <c r="A1180" s="91">
        <v>45203</v>
      </c>
      <c r="B1180" s="92">
        <v>403</v>
      </c>
      <c r="C1180" s="93" t="str">
        <f>IF(ISNA(VLOOKUP(Tableau13[[#This Row],[Code]],'Code Véhicule'!$A$4:$C$185,2,0)),"",VLOOKUP(Tableau13[[#This Row],[Code]],'Code Véhicule'!$A$4:$C$185,2,0))</f>
        <v>Camion</v>
      </c>
      <c r="D1180" s="94" t="str">
        <f>IF(ISNA(VLOOKUP(Tableau13[[#This Row],[Code]],'Code Véhicule'!$A$4:$C$185,3,0)),"",VLOOKUP(Tableau13[[#This Row],[Code]],'Code Véhicule'!$A$4:$C$185,3,0))</f>
        <v>MAN</v>
      </c>
      <c r="E1180" s="92" t="str">
        <f>IF(ISNA(VLOOKUP(Tableau13[[#This Row],[Code]],'Code Véhicule'!$A$4:$D$185,4,0))," ",VLOOKUP(Tableau13[[#This Row],[Code]],'Code Véhicule'!$A$4:$D$185,4,0))</f>
        <v>4790-B-8</v>
      </c>
      <c r="F1180" s="92"/>
      <c r="G1180" s="38" t="s">
        <v>2330</v>
      </c>
      <c r="H1180" s="38" t="s">
        <v>2331</v>
      </c>
      <c r="I1180" s="36" t="s">
        <v>304</v>
      </c>
      <c r="J1180" s="39" t="s">
        <v>2332</v>
      </c>
      <c r="K1180" s="92"/>
      <c r="L1180" s="96">
        <v>1140</v>
      </c>
      <c r="M1180" s="96">
        <v>1140</v>
      </c>
      <c r="N1180" s="97">
        <v>45204</v>
      </c>
      <c r="O1180" s="98"/>
      <c r="P1180" s="98"/>
      <c r="Q1180" s="177" t="e">
        <f>MONTH([1]!Tableau13[[#This Row],[Date début]])</f>
        <v>#REF!</v>
      </c>
      <c r="R1180" s="181" t="e">
        <f>YEAR([1]!Tableau13[[#This Row],[Date début]])</f>
        <v>#REF!</v>
      </c>
      <c r="S1180" s="44"/>
      <c r="T1180" s="44"/>
    </row>
    <row r="1181" spans="1:20" s="75" customFormat="1" ht="30">
      <c r="A1181" s="91">
        <v>45204</v>
      </c>
      <c r="B1181" s="92">
        <v>481</v>
      </c>
      <c r="C1181" s="93" t="str">
        <f>IF(ISNA(VLOOKUP(Tableau13[[#This Row],[Code]],'Code Véhicule'!$A$4:$C$185,2,0)),"",VLOOKUP(Tableau13[[#This Row],[Code]],'Code Véhicule'!$A$4:$C$185,2,0))</f>
        <v>Camion</v>
      </c>
      <c r="D1181" s="94" t="str">
        <f>IF(ISNA(VLOOKUP(Tableau13[[#This Row],[Code]],'Code Véhicule'!$A$4:$C$185,3,0)),"",VLOOKUP(Tableau13[[#This Row],[Code]],'Code Véhicule'!$A$4:$C$185,3,0))</f>
        <v>VOLVO</v>
      </c>
      <c r="E1181" s="92" t="str">
        <f>IF(ISNA(VLOOKUP(Tableau13[[#This Row],[Code]],'Code Véhicule'!$A$4:$D$185,4,0))," ",VLOOKUP(Tableau13[[#This Row],[Code]],'Code Véhicule'!$A$4:$D$185,4,0))</f>
        <v>22300-A-73</v>
      </c>
      <c r="F1181" s="92"/>
      <c r="G1181" s="38" t="s">
        <v>610</v>
      </c>
      <c r="H1181" s="38" t="s">
        <v>2327</v>
      </c>
      <c r="I1181" s="36" t="s">
        <v>304</v>
      </c>
      <c r="J1181" s="39" t="s">
        <v>2328</v>
      </c>
      <c r="K1181" s="92"/>
      <c r="L1181" s="96">
        <v>1140</v>
      </c>
      <c r="M1181" s="96">
        <v>1140</v>
      </c>
      <c r="N1181" s="97">
        <v>45205</v>
      </c>
      <c r="O1181" s="98"/>
      <c r="P1181" s="98"/>
      <c r="Q1181" s="177" t="e">
        <f>MONTH([1]!Tableau13[[#This Row],[Date début]])</f>
        <v>#REF!</v>
      </c>
      <c r="R1181" s="181" t="e">
        <f>YEAR([1]!Tableau13[[#This Row],[Date début]])</f>
        <v>#REF!</v>
      </c>
      <c r="S1181" s="44"/>
      <c r="T1181" s="44"/>
    </row>
    <row r="1182" spans="1:20" s="75" customFormat="1" ht="23.25">
      <c r="A1182" s="91">
        <v>45204</v>
      </c>
      <c r="B1182" s="36" t="s">
        <v>1199</v>
      </c>
      <c r="C1182" s="93" t="str">
        <f>IF(ISNA(VLOOKUP(Tableau13[[#This Row],[Code]],'Code Véhicule'!$A$4:$C$185,2,0)),"",VLOOKUP(Tableau13[[#This Row],[Code]],'Code Véhicule'!$A$4:$C$185,2,0))</f>
        <v>Chargeur</v>
      </c>
      <c r="D1182" s="94" t="str">
        <f>IF(ISNA(VLOOKUP(Tableau13[[#This Row],[Code]],'Code Véhicule'!$A$4:$C$185,3,0)),"",VLOOKUP(Tableau13[[#This Row],[Code]],'Code Véhicule'!$A$4:$C$185,3,0))</f>
        <v>Caterpillar</v>
      </c>
      <c r="E1182" s="92" t="str">
        <f>IF(ISNA(VLOOKUP(Tableau13[[#This Row],[Code]],'Code Véhicule'!$A$4:$D$185,4,0))," ",VLOOKUP(Tableau13[[#This Row],[Code]],'Code Véhicule'!$A$4:$D$185,4,0))</f>
        <v>-</v>
      </c>
      <c r="F1182" s="92"/>
      <c r="G1182" s="38" t="s">
        <v>2094</v>
      </c>
      <c r="H1182" s="38" t="s">
        <v>511</v>
      </c>
      <c r="I1182" s="36" t="s">
        <v>304</v>
      </c>
      <c r="J1182" s="39" t="s">
        <v>2333</v>
      </c>
      <c r="K1182" s="92"/>
      <c r="L1182" s="96">
        <v>120</v>
      </c>
      <c r="M1182" s="96">
        <v>121</v>
      </c>
      <c r="N1182" s="97">
        <v>45204</v>
      </c>
      <c r="O1182" s="98"/>
      <c r="P1182" s="98"/>
      <c r="Q1182" s="177" t="e">
        <f>MONTH([1]!Tableau13[[#This Row],[Date début]])</f>
        <v>#REF!</v>
      </c>
      <c r="R1182" s="181" t="e">
        <f>YEAR([1]!Tableau13[[#This Row],[Date début]])</f>
        <v>#REF!</v>
      </c>
      <c r="S1182" s="44"/>
      <c r="T1182" s="44"/>
    </row>
    <row r="1183" spans="1:20" s="75" customFormat="1" ht="30">
      <c r="A1183" s="91">
        <v>45204</v>
      </c>
      <c r="B1183" s="92">
        <v>481</v>
      </c>
      <c r="C1183" s="93" t="str">
        <f>IF(ISNA(VLOOKUP(Tableau13[[#This Row],[Code]],'Code Véhicule'!$A$4:$C$185,2,0)),"",VLOOKUP(Tableau13[[#This Row],[Code]],'Code Véhicule'!$A$4:$C$185,2,0))</f>
        <v>Camion</v>
      </c>
      <c r="D1183" s="94" t="str">
        <f>IF(ISNA(VLOOKUP(Tableau13[[#This Row],[Code]],'Code Véhicule'!$A$4:$C$185,3,0)),"",VLOOKUP(Tableau13[[#This Row],[Code]],'Code Véhicule'!$A$4:$C$185,3,0))</f>
        <v>VOLVO</v>
      </c>
      <c r="E1183" s="92" t="str">
        <f>IF(ISNA(VLOOKUP(Tableau13[[#This Row],[Code]],'Code Véhicule'!$A$4:$D$185,4,0))," ",VLOOKUP(Tableau13[[#This Row],[Code]],'Code Véhicule'!$A$4:$D$185,4,0))</f>
        <v>22300-A-73</v>
      </c>
      <c r="F1183" s="92"/>
      <c r="G1183" s="38" t="s">
        <v>327</v>
      </c>
      <c r="H1183" s="38" t="s">
        <v>1084</v>
      </c>
      <c r="I1183" s="36" t="s">
        <v>304</v>
      </c>
      <c r="J1183" s="39" t="s">
        <v>2334</v>
      </c>
      <c r="K1183" s="92"/>
      <c r="L1183" s="96">
        <v>570</v>
      </c>
      <c r="M1183" s="96">
        <v>570</v>
      </c>
      <c r="N1183" s="97">
        <v>45204</v>
      </c>
      <c r="O1183" s="98"/>
      <c r="P1183" s="98"/>
      <c r="Q1183" s="177" t="e">
        <f>MONTH([1]!Tableau13[[#This Row],[Date début]])</f>
        <v>#REF!</v>
      </c>
      <c r="R1183" s="181" t="e">
        <f>YEAR([1]!Tableau13[[#This Row],[Date début]])</f>
        <v>#REF!</v>
      </c>
      <c r="S1183" s="44"/>
      <c r="T1183" s="44"/>
    </row>
    <row r="1184" spans="1:20" s="75" customFormat="1" ht="30">
      <c r="A1184" s="91">
        <v>45204</v>
      </c>
      <c r="B1184" s="92">
        <v>410</v>
      </c>
      <c r="C1184" s="93" t="str">
        <f>IF(ISNA(VLOOKUP(Tableau13[[#This Row],[Code]],'Code Véhicule'!$A$4:$C$185,2,0)),"",VLOOKUP(Tableau13[[#This Row],[Code]],'Code Véhicule'!$A$4:$C$185,2,0))</f>
        <v>Semi remorque</v>
      </c>
      <c r="D1184" s="94" t="str">
        <f>IF(ISNA(VLOOKUP(Tableau13[[#This Row],[Code]],'Code Véhicule'!$A$4:$C$185,3,0)),"",VLOOKUP(Tableau13[[#This Row],[Code]],'Code Véhicule'!$A$4:$C$185,3,0))</f>
        <v>MAN</v>
      </c>
      <c r="E1184" s="92" t="str">
        <f>IF(ISNA(VLOOKUP(Tableau13[[#This Row],[Code]],'Code Véhicule'!$A$4:$D$185,4,0))," ",VLOOKUP(Tableau13[[#This Row],[Code]],'Code Véhicule'!$A$4:$D$185,4,0))</f>
        <v xml:space="preserve">28659-D-1 </v>
      </c>
      <c r="F1184" s="92"/>
      <c r="G1184" s="38" t="s">
        <v>2094</v>
      </c>
      <c r="H1184" s="38" t="s">
        <v>2095</v>
      </c>
      <c r="I1184" s="36" t="s">
        <v>304</v>
      </c>
      <c r="J1184" s="39" t="s">
        <v>2335</v>
      </c>
      <c r="K1184" s="92"/>
      <c r="L1184" s="96">
        <v>1710</v>
      </c>
      <c r="M1184" s="96">
        <v>1710</v>
      </c>
      <c r="N1184" s="97">
        <v>45208</v>
      </c>
      <c r="O1184" s="98"/>
      <c r="P1184" s="98"/>
      <c r="Q1184" s="177" t="e">
        <f>MONTH([1]!Tableau13[[#This Row],[Date début]])</f>
        <v>#REF!</v>
      </c>
      <c r="R1184" s="181" t="e">
        <f>YEAR([1]!Tableau13[[#This Row],[Date début]])</f>
        <v>#REF!</v>
      </c>
      <c r="S1184" s="44"/>
      <c r="T1184" s="44"/>
    </row>
    <row r="1185" spans="1:20" s="75" customFormat="1" ht="90">
      <c r="A1185" s="91">
        <v>45205</v>
      </c>
      <c r="B1185" s="92">
        <v>426</v>
      </c>
      <c r="C1185" s="93" t="str">
        <f>IF(ISNA(VLOOKUP(Tableau13[[#This Row],[Code]],'Code Véhicule'!$A$4:$C$185,2,0)),"",VLOOKUP(Tableau13[[#This Row],[Code]],'Code Véhicule'!$A$4:$C$185,2,0))</f>
        <v>Chariot elevateur</v>
      </c>
      <c r="D1185" s="94" t="str">
        <f>IF(ISNA(VLOOKUP(Tableau13[[#This Row],[Code]],'Code Véhicule'!$A$4:$C$185,3,0)),"",VLOOKUP(Tableau13[[#This Row],[Code]],'Code Véhicule'!$A$4:$C$185,3,0))</f>
        <v>Manitou MC 30</v>
      </c>
      <c r="E1185" s="92" t="str">
        <f>IF(ISNA(VLOOKUP(Tableau13[[#This Row],[Code]],'Code Véhicule'!$A$4:$D$185,4,0))," ",VLOOKUP(Tableau13[[#This Row],[Code]],'Code Véhicule'!$A$4:$D$185,4,0))</f>
        <v>-</v>
      </c>
      <c r="F1185" s="92"/>
      <c r="G1185" s="38" t="s">
        <v>455</v>
      </c>
      <c r="H1185" s="38" t="s">
        <v>2336</v>
      </c>
      <c r="I1185" s="36" t="s">
        <v>304</v>
      </c>
      <c r="J1185" s="39" t="s">
        <v>2337</v>
      </c>
      <c r="K1185" s="92"/>
      <c r="L1185" s="96">
        <v>11400</v>
      </c>
      <c r="M1185" s="96">
        <v>11400</v>
      </c>
      <c r="N1185" s="97">
        <v>45229</v>
      </c>
      <c r="O1185" s="98"/>
      <c r="P1185" s="98"/>
      <c r="Q1185" s="177" t="e">
        <f>MONTH([1]!Tableau13[[#This Row],[Date début]])</f>
        <v>#REF!</v>
      </c>
      <c r="R1185" s="181" t="e">
        <f>YEAR([1]!Tableau13[[#This Row],[Date début]])</f>
        <v>#REF!</v>
      </c>
      <c r="S1185" s="44"/>
      <c r="T1185" s="44"/>
    </row>
    <row r="1186" spans="1:20" s="75" customFormat="1" ht="60">
      <c r="A1186" s="91">
        <v>45205</v>
      </c>
      <c r="B1186" s="92">
        <v>436</v>
      </c>
      <c r="C1186" s="93" t="str">
        <f>IF(ISNA(VLOOKUP(Tableau13[[#This Row],[Code]],'Code Véhicule'!$A$4:$C$185,2,0)),"",VLOOKUP(Tableau13[[#This Row],[Code]],'Code Véhicule'!$A$4:$C$185,2,0))</f>
        <v>Camion</v>
      </c>
      <c r="D1186" s="94" t="str">
        <f>IF(ISNA(VLOOKUP(Tableau13[[#This Row],[Code]],'Code Véhicule'!$A$4:$C$185,3,0)),"",VLOOKUP(Tableau13[[#This Row],[Code]],'Code Véhicule'!$A$4:$C$185,3,0))</f>
        <v>Mitsubishi</v>
      </c>
      <c r="E1186" s="92" t="str">
        <f>IF(ISNA(VLOOKUP(Tableau13[[#This Row],[Code]],'Code Véhicule'!$A$4:$D$185,4,0))," ",VLOOKUP(Tableau13[[#This Row],[Code]],'Code Véhicule'!$A$4:$D$185,4,0))</f>
        <v>11470-A-73</v>
      </c>
      <c r="F1186" s="92"/>
      <c r="G1186" s="38" t="s">
        <v>2338</v>
      </c>
      <c r="H1186" s="38" t="s">
        <v>2339</v>
      </c>
      <c r="I1186" s="36" t="s">
        <v>304</v>
      </c>
      <c r="J1186" s="39" t="s">
        <v>2340</v>
      </c>
      <c r="K1186" s="92"/>
      <c r="L1186" s="96">
        <v>1710</v>
      </c>
      <c r="M1186" s="96">
        <v>1710</v>
      </c>
      <c r="N1186" s="97">
        <v>45209</v>
      </c>
      <c r="O1186" s="98"/>
      <c r="P1186" s="98"/>
      <c r="Q1186" s="177" t="e">
        <f>MONTH([1]!Tableau13[[#This Row],[Date début]])</f>
        <v>#REF!</v>
      </c>
      <c r="R1186" s="181" t="e">
        <f>YEAR([1]!Tableau13[[#This Row],[Date début]])</f>
        <v>#REF!</v>
      </c>
      <c r="S1186" s="44"/>
      <c r="T1186" s="44"/>
    </row>
    <row r="1187" spans="1:20" s="75" customFormat="1" ht="105">
      <c r="A1187" s="35">
        <v>45209</v>
      </c>
      <c r="B1187" s="92">
        <v>401</v>
      </c>
      <c r="C1187" s="93" t="str">
        <f>IF(ISNA(VLOOKUP(Tableau13[[#This Row],[Code]],'Code Véhicule'!$A$4:$C$185,2,0)),"",VLOOKUP(Tableau13[[#This Row],[Code]],'Code Véhicule'!$A$4:$C$185,2,0))</f>
        <v>Camion</v>
      </c>
      <c r="D1187" s="94" t="str">
        <f>IF(ISNA(VLOOKUP(Tableau13[[#This Row],[Code]],'Code Véhicule'!$A$4:$C$185,3,0)),"",VLOOKUP(Tableau13[[#This Row],[Code]],'Code Véhicule'!$A$4:$C$185,3,0))</f>
        <v>ISUZU</v>
      </c>
      <c r="E1187" s="92" t="str">
        <f>IF(ISNA(VLOOKUP(Tableau13[[#This Row],[Code]],'Code Véhicule'!$A$4:$D$185,4,0))," ",VLOOKUP(Tableau13[[#This Row],[Code]],'Code Véhicule'!$A$4:$D$185,4,0))</f>
        <v>26128-A-8</v>
      </c>
      <c r="F1187" s="92"/>
      <c r="G1187" s="38" t="s">
        <v>610</v>
      </c>
      <c r="H1187" s="38" t="s">
        <v>2349</v>
      </c>
      <c r="I1187" s="36" t="s">
        <v>304</v>
      </c>
      <c r="J1187" s="39" t="s">
        <v>2361</v>
      </c>
      <c r="K1187" s="92"/>
      <c r="L1187" s="96">
        <v>14810</v>
      </c>
      <c r="M1187" s="96">
        <v>14810</v>
      </c>
      <c r="N1187" s="97">
        <v>45245</v>
      </c>
      <c r="O1187" s="98"/>
      <c r="P1187" s="98"/>
      <c r="Q1187" s="177" t="e">
        <f>MONTH([1]!Tableau13[[#This Row],[Date début]])</f>
        <v>#REF!</v>
      </c>
      <c r="R1187" s="181" t="e">
        <f>YEAR([1]!Tableau13[[#This Row],[Date début]])</f>
        <v>#REF!</v>
      </c>
      <c r="S1187" s="44"/>
      <c r="T1187" s="44"/>
    </row>
    <row r="1188" spans="1:20" s="75" customFormat="1" ht="30">
      <c r="A1188" s="91">
        <v>45210</v>
      </c>
      <c r="B1188" s="92">
        <v>434</v>
      </c>
      <c r="C1188" s="93" t="str">
        <f>IF(ISNA(VLOOKUP(Tableau13[[#This Row],[Code]],'Code Véhicule'!$A$4:$C$185,2,0)),"",VLOOKUP(Tableau13[[#This Row],[Code]],'Code Véhicule'!$A$4:$C$185,2,0))</f>
        <v>Chariot elevateur</v>
      </c>
      <c r="D1188" s="94" t="str">
        <f>IF(ISNA(VLOOKUP(Tableau13[[#This Row],[Code]],'Code Véhicule'!$A$4:$C$185,3,0)),"",VLOOKUP(Tableau13[[#This Row],[Code]],'Code Véhicule'!$A$4:$C$185,3,0))</f>
        <v>Linde H30D</v>
      </c>
      <c r="E1188" s="92" t="str">
        <f>IF(ISNA(VLOOKUP(Tableau13[[#This Row],[Code]],'Code Véhicule'!$A$4:$D$185,4,0))," ",VLOOKUP(Tableau13[[#This Row],[Code]],'Code Véhicule'!$A$4:$D$185,4,0))</f>
        <v>-</v>
      </c>
      <c r="F1188" s="92"/>
      <c r="G1188" s="38" t="s">
        <v>2094</v>
      </c>
      <c r="H1188" s="38" t="s">
        <v>2095</v>
      </c>
      <c r="I1188" s="36" t="s">
        <v>304</v>
      </c>
      <c r="J1188" s="39" t="s">
        <v>2341</v>
      </c>
      <c r="K1188" s="92"/>
      <c r="L1188" s="96">
        <v>5700</v>
      </c>
      <c r="M1188" s="96">
        <v>5700</v>
      </c>
      <c r="N1188" s="97">
        <v>45225</v>
      </c>
      <c r="O1188" s="98"/>
      <c r="P1188" s="98"/>
      <c r="Q1188" s="177" t="e">
        <f>MONTH([1]!Tableau13[[#This Row],[Date début]])</f>
        <v>#REF!</v>
      </c>
      <c r="R1188" s="181" t="e">
        <f>YEAR([1]!Tableau13[[#This Row],[Date début]])</f>
        <v>#REF!</v>
      </c>
      <c r="S1188" s="44"/>
      <c r="T1188" s="44"/>
    </row>
    <row r="1189" spans="1:20" s="75" customFormat="1" ht="60">
      <c r="A1189" s="91">
        <v>45210</v>
      </c>
      <c r="B1189" s="92">
        <v>407</v>
      </c>
      <c r="C1189" s="93" t="str">
        <f>IF(ISNA(VLOOKUP(Tableau13[[#This Row],[Code]],'Code Véhicule'!$A$4:$C$185,2,0)),"",VLOOKUP(Tableau13[[#This Row],[Code]],'Code Véhicule'!$A$4:$C$185,2,0))</f>
        <v>Semi remorque</v>
      </c>
      <c r="D1189" s="94" t="str">
        <f>IF(ISNA(VLOOKUP(Tableau13[[#This Row],[Code]],'Code Véhicule'!$A$4:$C$185,3,0)),"",VLOOKUP(Tableau13[[#This Row],[Code]],'Code Véhicule'!$A$4:$C$185,3,0))</f>
        <v>MAN</v>
      </c>
      <c r="E1189" s="92" t="str">
        <f>IF(ISNA(VLOOKUP(Tableau13[[#This Row],[Code]],'Code Véhicule'!$A$4:$D$185,4,0))," ",VLOOKUP(Tableau13[[#This Row],[Code]],'Code Véhicule'!$A$4:$D$185,4,0))</f>
        <v>706-A-73</v>
      </c>
      <c r="F1189" s="92"/>
      <c r="G1189" s="38" t="s">
        <v>313</v>
      </c>
      <c r="H1189" s="38" t="s">
        <v>2342</v>
      </c>
      <c r="I1189" s="36" t="s">
        <v>304</v>
      </c>
      <c r="J1189" s="39" t="s">
        <v>2343</v>
      </c>
      <c r="K1189" s="92"/>
      <c r="L1189" s="96">
        <v>5130</v>
      </c>
      <c r="M1189" s="96">
        <v>5130</v>
      </c>
      <c r="N1189" s="97">
        <v>45221</v>
      </c>
      <c r="O1189" s="98"/>
      <c r="P1189" s="98"/>
      <c r="Q1189" s="177" t="e">
        <f>MONTH([1]!Tableau13[[#This Row],[Date début]])</f>
        <v>#REF!</v>
      </c>
      <c r="R1189" s="181" t="e">
        <f>YEAR([1]!Tableau13[[#This Row],[Date début]])</f>
        <v>#REF!</v>
      </c>
      <c r="S1189" s="44"/>
      <c r="T1189" s="44"/>
    </row>
    <row r="1190" spans="1:20" s="75" customFormat="1" ht="30">
      <c r="A1190" s="91">
        <v>45211</v>
      </c>
      <c r="B1190" s="92">
        <v>477</v>
      </c>
      <c r="C1190" s="93" t="str">
        <f>IF(ISNA(VLOOKUP(Tableau13[[#This Row],[Code]],'Code Véhicule'!$A$4:$C$185,2,0)),"",VLOOKUP(Tableau13[[#This Row],[Code]],'Code Véhicule'!$A$4:$C$185,2,0))</f>
        <v>Chariot elevateur</v>
      </c>
      <c r="D1190" s="94" t="str">
        <f>IF(ISNA(VLOOKUP(Tableau13[[#This Row],[Code]],'Code Véhicule'!$A$4:$C$185,3,0)),"",VLOOKUP(Tableau13[[#This Row],[Code]],'Code Véhicule'!$A$4:$C$185,3,0))</f>
        <v>Linde H30D</v>
      </c>
      <c r="E1190" s="92" t="str">
        <f>IF(ISNA(VLOOKUP(Tableau13[[#This Row],[Code]],'Code Véhicule'!$A$4:$D$185,4,0))," ",VLOOKUP(Tableau13[[#This Row],[Code]],'Code Véhicule'!$A$4:$D$185,4,0))</f>
        <v>-</v>
      </c>
      <c r="F1190" s="92"/>
      <c r="G1190" s="38" t="s">
        <v>2344</v>
      </c>
      <c r="H1190" s="94"/>
      <c r="I1190" s="36" t="s">
        <v>304</v>
      </c>
      <c r="J1190" s="39" t="s">
        <v>2345</v>
      </c>
      <c r="K1190" s="92"/>
      <c r="L1190" s="96">
        <v>570</v>
      </c>
      <c r="M1190" s="96">
        <v>570</v>
      </c>
      <c r="N1190" s="97">
        <v>45211</v>
      </c>
      <c r="O1190" s="98"/>
      <c r="P1190" s="98"/>
      <c r="Q1190" s="177" t="e">
        <f>MONTH([1]!Tableau13[[#This Row],[Date début]])</f>
        <v>#REF!</v>
      </c>
      <c r="R1190" s="181" t="e">
        <f>YEAR([1]!Tableau13[[#This Row],[Date début]])</f>
        <v>#REF!</v>
      </c>
      <c r="S1190" s="44"/>
      <c r="T1190" s="44"/>
    </row>
    <row r="1191" spans="1:20" s="75" customFormat="1" ht="75">
      <c r="A1191" s="91">
        <v>45214</v>
      </c>
      <c r="B1191" s="92">
        <v>7</v>
      </c>
      <c r="C1191" s="93" t="str">
        <f>IF(ISNA(VLOOKUP(Tableau13[[#This Row],[Code]],'Code Véhicule'!$A$4:$C$185,2,0)),"",VLOOKUP(Tableau13[[#This Row],[Code]],'Code Véhicule'!$A$4:$C$185,2,0))</f>
        <v>Voiture de fonction</v>
      </c>
      <c r="D1191" s="94" t="str">
        <f>IF(ISNA(VLOOKUP(Tableau13[[#This Row],[Code]],'Code Véhicule'!$A$4:$C$185,3,0)),"",VLOOKUP(Tableau13[[#This Row],[Code]],'Code Véhicule'!$A$4:$C$185,3,0))</f>
        <v>Berlingo</v>
      </c>
      <c r="E1191" s="92" t="str">
        <f>IF(ISNA(VLOOKUP(Tableau13[[#This Row],[Code]],'Code Véhicule'!$A$4:$D$185,4,0))," ",VLOOKUP(Tableau13[[#This Row],[Code]],'Code Véhicule'!$A$4:$D$185,4,0))</f>
        <v>50313-A-6</v>
      </c>
      <c r="F1191" s="92"/>
      <c r="G1191" s="38" t="s">
        <v>2142</v>
      </c>
      <c r="H1191" s="38" t="s">
        <v>1245</v>
      </c>
      <c r="I1191" s="36" t="s">
        <v>304</v>
      </c>
      <c r="J1191" s="39" t="s">
        <v>2350</v>
      </c>
      <c r="K1191" s="92"/>
      <c r="L1191" s="96">
        <v>3420</v>
      </c>
      <c r="M1191" s="96">
        <v>3420</v>
      </c>
      <c r="N1191" s="97">
        <v>45222</v>
      </c>
      <c r="O1191" s="98"/>
      <c r="P1191" s="98"/>
      <c r="Q1191" s="177" t="e">
        <f>MONTH([1]!Tableau13[[#This Row],[Date début]])</f>
        <v>#REF!</v>
      </c>
      <c r="R1191" s="181" t="e">
        <f>YEAR([1]!Tableau13[[#This Row],[Date début]])</f>
        <v>#REF!</v>
      </c>
      <c r="S1191" s="44"/>
      <c r="T1191" s="44"/>
    </row>
    <row r="1192" spans="1:20" s="75" customFormat="1" ht="23.25">
      <c r="A1192" s="91">
        <v>45215</v>
      </c>
      <c r="B1192" s="92">
        <v>413</v>
      </c>
      <c r="C1192" s="93" t="str">
        <f>IF(ISNA(VLOOKUP(Tableau13[[#This Row],[Code]],'Code Véhicule'!$A$4:$C$185,2,0)),"",VLOOKUP(Tableau13[[#This Row],[Code]],'Code Véhicule'!$A$4:$C$185,2,0))</f>
        <v>Chargeur</v>
      </c>
      <c r="D1192" s="94" t="str">
        <f>IF(ISNA(VLOOKUP(Tableau13[[#This Row],[Code]],'Code Véhicule'!$A$4:$C$185,3,0)),"",VLOOKUP(Tableau13[[#This Row],[Code]],'Code Véhicule'!$A$4:$C$185,3,0))</f>
        <v>Caterpillar</v>
      </c>
      <c r="E1192" s="92" t="str">
        <f>IF(ISNA(VLOOKUP(Tableau13[[#This Row],[Code]],'Code Véhicule'!$A$4:$D$185,4,0))," ",VLOOKUP(Tableau13[[#This Row],[Code]],'Code Véhicule'!$A$4:$D$185,4,0))</f>
        <v>-</v>
      </c>
      <c r="F1192" s="92"/>
      <c r="G1192" s="38" t="s">
        <v>2204</v>
      </c>
      <c r="H1192" s="38" t="s">
        <v>2346</v>
      </c>
      <c r="I1192" s="36" t="s">
        <v>304</v>
      </c>
      <c r="J1192" s="39" t="s">
        <v>2347</v>
      </c>
      <c r="K1192" s="92"/>
      <c r="L1192" s="96">
        <v>1710</v>
      </c>
      <c r="M1192" s="96">
        <v>1710</v>
      </c>
      <c r="N1192" s="97">
        <v>45219</v>
      </c>
      <c r="O1192" s="98"/>
      <c r="P1192" s="98"/>
      <c r="Q1192" s="177" t="e">
        <f>MONTH([1]!Tableau13[[#This Row],[Date début]])</f>
        <v>#REF!</v>
      </c>
      <c r="R1192" s="181" t="e">
        <f>YEAR([1]!Tableau13[[#This Row],[Date début]])</f>
        <v>#REF!</v>
      </c>
      <c r="S1192" s="44"/>
      <c r="T1192" s="44"/>
    </row>
    <row r="1193" spans="1:20" s="75" customFormat="1" ht="23.25">
      <c r="A1193" s="91">
        <v>45215</v>
      </c>
      <c r="B1193" s="92">
        <v>439</v>
      </c>
      <c r="C1193" s="93" t="str">
        <f>IF(ISNA(VLOOKUP(Tableau13[[#This Row],[Code]],'Code Véhicule'!$A$4:$C$185,2,0)),"",VLOOKUP(Tableau13[[#This Row],[Code]],'Code Véhicule'!$A$4:$C$185,2,0))</f>
        <v>Semi remorque</v>
      </c>
      <c r="D1193" s="94" t="str">
        <f>IF(ISNA(VLOOKUP(Tableau13[[#This Row],[Code]],'Code Véhicule'!$A$4:$C$185,3,0)),"",VLOOKUP(Tableau13[[#This Row],[Code]],'Code Véhicule'!$A$4:$C$185,3,0))</f>
        <v>VOLVO</v>
      </c>
      <c r="E1193" s="92" t="str">
        <f>IF(ISNA(VLOOKUP(Tableau13[[#This Row],[Code]],'Code Véhicule'!$A$4:$D$185,4,0))," ",VLOOKUP(Tableau13[[#This Row],[Code]],'Code Véhicule'!$A$4:$D$185,4,0))</f>
        <v xml:space="preserve">17886-A-73 </v>
      </c>
      <c r="F1193" s="92"/>
      <c r="G1193" s="38" t="s">
        <v>2142</v>
      </c>
      <c r="H1193" s="38" t="s">
        <v>2348</v>
      </c>
      <c r="I1193" s="36" t="s">
        <v>304</v>
      </c>
      <c r="J1193" s="39" t="s">
        <v>2304</v>
      </c>
      <c r="K1193" s="92"/>
      <c r="L1193" s="96">
        <v>1740</v>
      </c>
      <c r="M1193" s="96">
        <v>1740</v>
      </c>
      <c r="N1193" s="97">
        <v>45217</v>
      </c>
      <c r="O1193" s="98"/>
      <c r="P1193" s="98"/>
      <c r="Q1193" s="177" t="e">
        <f>MONTH([1]!Tableau13[[#This Row],[Date début]])</f>
        <v>#REF!</v>
      </c>
      <c r="R1193" s="181" t="e">
        <f>YEAR([1]!Tableau13[[#This Row],[Date début]])</f>
        <v>#REF!</v>
      </c>
      <c r="S1193" s="44"/>
      <c r="T1193" s="44"/>
    </row>
    <row r="1194" spans="1:20" s="75" customFormat="1" ht="30">
      <c r="A1194" s="91">
        <v>45225</v>
      </c>
      <c r="B1194" s="92">
        <v>406</v>
      </c>
      <c r="C1194" s="93" t="str">
        <f>IF(ISNA(VLOOKUP(Tableau13[[#This Row],[Code]],'Code Véhicule'!$A$4:$C$185,2,0)),"",VLOOKUP(Tableau13[[#This Row],[Code]],'Code Véhicule'!$A$4:$C$185,2,0))</f>
        <v>Semi remorque</v>
      </c>
      <c r="D1194" s="94" t="str">
        <f>IF(ISNA(VLOOKUP(Tableau13[[#This Row],[Code]],'Code Véhicule'!$A$4:$C$185,3,0)),"",VLOOKUP(Tableau13[[#This Row],[Code]],'Code Véhicule'!$A$4:$C$185,3,0))</f>
        <v>VOLVO</v>
      </c>
      <c r="E1194" s="92" t="str">
        <f>IF(ISNA(VLOOKUP(Tableau13[[#This Row],[Code]],'Code Véhicule'!$A$4:$D$185,4,0))," ",VLOOKUP(Tableau13[[#This Row],[Code]],'Code Véhicule'!$A$4:$D$185,4,0))</f>
        <v>70352-A-6</v>
      </c>
      <c r="F1194" s="92"/>
      <c r="G1194" s="38" t="s">
        <v>1008</v>
      </c>
      <c r="H1194" s="38" t="s">
        <v>1600</v>
      </c>
      <c r="I1194" s="36" t="s">
        <v>304</v>
      </c>
      <c r="J1194" s="39" t="s">
        <v>2351</v>
      </c>
      <c r="K1194" s="92"/>
      <c r="L1194" s="96">
        <v>1710</v>
      </c>
      <c r="M1194" s="96">
        <v>1710</v>
      </c>
      <c r="N1194" s="97">
        <v>45228</v>
      </c>
      <c r="O1194" s="98"/>
      <c r="P1194" s="98"/>
      <c r="Q1194" s="177" t="e">
        <f>MONTH([1]!Tableau13[[#This Row],[Date début]])</f>
        <v>#REF!</v>
      </c>
      <c r="R1194" s="181" t="e">
        <f>YEAR([1]!Tableau13[[#This Row],[Date début]])</f>
        <v>#REF!</v>
      </c>
      <c r="S1194" s="44"/>
      <c r="T1194" s="44"/>
    </row>
    <row r="1195" spans="1:20" s="75" customFormat="1" ht="30">
      <c r="A1195" s="91">
        <v>45226</v>
      </c>
      <c r="B1195" s="92">
        <v>407</v>
      </c>
      <c r="C1195" s="93" t="str">
        <f>IF(ISNA(VLOOKUP(Tableau13[[#This Row],[Code]],'Code Véhicule'!$A$4:$C$185,2,0)),"",VLOOKUP(Tableau13[[#This Row],[Code]],'Code Véhicule'!$A$4:$C$185,2,0))</f>
        <v>Semi remorque</v>
      </c>
      <c r="D1195" s="94" t="str">
        <f>IF(ISNA(VLOOKUP(Tableau13[[#This Row],[Code]],'Code Véhicule'!$A$4:$C$185,3,0)),"",VLOOKUP(Tableau13[[#This Row],[Code]],'Code Véhicule'!$A$4:$C$185,3,0))</f>
        <v>MAN</v>
      </c>
      <c r="E1195" s="92" t="str">
        <f>IF(ISNA(VLOOKUP(Tableau13[[#This Row],[Code]],'Code Véhicule'!$A$4:$D$185,4,0))," ",VLOOKUP(Tableau13[[#This Row],[Code]],'Code Véhicule'!$A$4:$D$185,4,0))</f>
        <v>706-A-73</v>
      </c>
      <c r="F1195" s="92"/>
      <c r="G1195" s="38" t="s">
        <v>2352</v>
      </c>
      <c r="H1195" s="38" t="s">
        <v>2353</v>
      </c>
      <c r="I1195" s="36" t="s">
        <v>304</v>
      </c>
      <c r="J1195" s="39" t="s">
        <v>2354</v>
      </c>
      <c r="K1195" s="92"/>
      <c r="L1195" s="96">
        <v>1140</v>
      </c>
      <c r="M1195" s="96">
        <v>1140</v>
      </c>
      <c r="N1195" s="97">
        <v>45228</v>
      </c>
      <c r="O1195" s="98"/>
      <c r="P1195" s="98"/>
      <c r="Q1195" s="177" t="e">
        <f>MONTH([1]!Tableau13[[#This Row],[Date début]])</f>
        <v>#REF!</v>
      </c>
      <c r="R1195" s="181" t="e">
        <f>YEAR([1]!Tableau13[[#This Row],[Date début]])</f>
        <v>#REF!</v>
      </c>
      <c r="S1195" s="44"/>
      <c r="T1195" s="44"/>
    </row>
    <row r="1196" spans="1:20" s="75" customFormat="1" ht="23.25">
      <c r="A1196" s="91">
        <v>45231</v>
      </c>
      <c r="B1196" s="92">
        <v>439</v>
      </c>
      <c r="C1196" s="93" t="str">
        <f>IF(ISNA(VLOOKUP(Tableau13[[#This Row],[Code]],'Code Véhicule'!$A$4:$C$185,2,0)),"",VLOOKUP(Tableau13[[#This Row],[Code]],'Code Véhicule'!$A$4:$C$185,2,0))</f>
        <v>Semi remorque</v>
      </c>
      <c r="D1196" s="94" t="str">
        <f>IF(ISNA(VLOOKUP(Tableau13[[#This Row],[Code]],'Code Véhicule'!$A$4:$C$185,3,0)),"",VLOOKUP(Tableau13[[#This Row],[Code]],'Code Véhicule'!$A$4:$C$185,3,0))</f>
        <v>VOLVO</v>
      </c>
      <c r="E1196" s="92" t="str">
        <f>IF(ISNA(VLOOKUP(Tableau13[[#This Row],[Code]],'Code Véhicule'!$A$4:$D$185,4,0))," ",VLOOKUP(Tableau13[[#This Row],[Code]],'Code Véhicule'!$A$4:$D$185,4,0))</f>
        <v xml:space="preserve">17886-A-73 </v>
      </c>
      <c r="F1196" s="92"/>
      <c r="G1196" s="38" t="s">
        <v>525</v>
      </c>
      <c r="H1196" s="38" t="s">
        <v>560</v>
      </c>
      <c r="I1196" s="36" t="s">
        <v>304</v>
      </c>
      <c r="J1196" s="39" t="s">
        <v>530</v>
      </c>
      <c r="K1196" s="92"/>
      <c r="L1196" s="96">
        <v>240</v>
      </c>
      <c r="M1196" s="96">
        <v>240</v>
      </c>
      <c r="N1196" s="97">
        <v>45231</v>
      </c>
      <c r="O1196" s="98"/>
      <c r="P1196" s="98"/>
      <c r="Q1196" s="177" t="e">
        <f>MONTH([1]!Tableau13[[#This Row],[Date début]])</f>
        <v>#REF!</v>
      </c>
      <c r="R1196" s="181" t="e">
        <f>YEAR([1]!Tableau13[[#This Row],[Date début]])</f>
        <v>#REF!</v>
      </c>
      <c r="S1196" s="44"/>
      <c r="T1196" s="44"/>
    </row>
    <row r="1197" spans="1:20" s="75" customFormat="1" ht="75">
      <c r="A1197" s="91">
        <v>45231</v>
      </c>
      <c r="B1197" s="92">
        <v>426</v>
      </c>
      <c r="C1197" s="93" t="str">
        <f>IF(ISNA(VLOOKUP(Tableau13[[#This Row],[Code]],'Code Véhicule'!$A$4:$C$185,2,0)),"",VLOOKUP(Tableau13[[#This Row],[Code]],'Code Véhicule'!$A$4:$C$185,2,0))</f>
        <v>Chariot elevateur</v>
      </c>
      <c r="D1197" s="94" t="str">
        <f>IF(ISNA(VLOOKUP(Tableau13[[#This Row],[Code]],'Code Véhicule'!$A$4:$C$185,3,0)),"",VLOOKUP(Tableau13[[#This Row],[Code]],'Code Véhicule'!$A$4:$C$185,3,0))</f>
        <v>Manitou MC 30</v>
      </c>
      <c r="E1197" s="92" t="str">
        <f>IF(ISNA(VLOOKUP(Tableau13[[#This Row],[Code]],'Code Véhicule'!$A$4:$D$185,4,0))," ",VLOOKUP(Tableau13[[#This Row],[Code]],'Code Véhicule'!$A$4:$D$185,4,0))</f>
        <v>-</v>
      </c>
      <c r="F1197" s="92"/>
      <c r="G1197" s="38" t="s">
        <v>2215</v>
      </c>
      <c r="H1197" s="38" t="s">
        <v>2367</v>
      </c>
      <c r="I1197" s="36" t="s">
        <v>304</v>
      </c>
      <c r="J1197" s="39" t="s">
        <v>2368</v>
      </c>
      <c r="K1197" s="92"/>
      <c r="L1197" s="96">
        <v>14820</v>
      </c>
      <c r="M1197" s="96">
        <v>14820</v>
      </c>
      <c r="N1197" s="97">
        <v>45260</v>
      </c>
      <c r="O1197" s="98"/>
      <c r="P1197" s="98"/>
      <c r="Q1197" s="177" t="e">
        <f>MONTH([1]!Tableau13[[#This Row],[Date début]])</f>
        <v>#REF!</v>
      </c>
      <c r="R1197" s="181" t="e">
        <f>YEAR([1]!Tableau13[[#This Row],[Date début]])</f>
        <v>#REF!</v>
      </c>
      <c r="S1197" s="44"/>
      <c r="T1197" s="44"/>
    </row>
    <row r="1198" spans="1:20" s="75" customFormat="1" ht="23.25">
      <c r="A1198" s="91">
        <v>45232</v>
      </c>
      <c r="B1198" s="92">
        <v>410</v>
      </c>
      <c r="C1198" s="93" t="str">
        <f>IF(ISNA(VLOOKUP(Tableau13[[#This Row],[Code]],'Code Véhicule'!$A$4:$C$185,2,0)),"",VLOOKUP(Tableau13[[#This Row],[Code]],'Code Véhicule'!$A$4:$C$185,2,0))</f>
        <v>Semi remorque</v>
      </c>
      <c r="D1198" s="94" t="str">
        <f>IF(ISNA(VLOOKUP(Tableau13[[#This Row],[Code]],'Code Véhicule'!$A$4:$C$185,3,0)),"",VLOOKUP(Tableau13[[#This Row],[Code]],'Code Véhicule'!$A$4:$C$185,3,0))</f>
        <v>MAN</v>
      </c>
      <c r="E1198" s="92" t="str">
        <f>IF(ISNA(VLOOKUP(Tableau13[[#This Row],[Code]],'Code Véhicule'!$A$4:$D$185,4,0))," ",VLOOKUP(Tableau13[[#This Row],[Code]],'Code Véhicule'!$A$4:$D$185,4,0))</f>
        <v xml:space="preserve">28659-D-1 </v>
      </c>
      <c r="F1198" s="92"/>
      <c r="G1198" s="38" t="s">
        <v>523</v>
      </c>
      <c r="H1198" s="38" t="s">
        <v>2355</v>
      </c>
      <c r="I1198" s="36" t="s">
        <v>304</v>
      </c>
      <c r="J1198" s="39" t="s">
        <v>2356</v>
      </c>
      <c r="K1198" s="92"/>
      <c r="L1198" s="96">
        <v>120</v>
      </c>
      <c r="M1198" s="96">
        <v>120</v>
      </c>
      <c r="N1198" s="97">
        <v>45232</v>
      </c>
      <c r="O1198" s="98"/>
      <c r="P1198" s="98"/>
      <c r="Q1198" s="177" t="e">
        <f>MONTH([1]!Tableau13[[#This Row],[Date début]])</f>
        <v>#REF!</v>
      </c>
      <c r="R1198" s="181" t="e">
        <f>YEAR([1]!Tableau13[[#This Row],[Date début]])</f>
        <v>#REF!</v>
      </c>
      <c r="S1198" s="44"/>
      <c r="T1198" s="44"/>
    </row>
    <row r="1199" spans="1:20" s="75" customFormat="1" ht="30">
      <c r="A1199" s="91">
        <v>45233</v>
      </c>
      <c r="B1199" s="92">
        <v>407</v>
      </c>
      <c r="C1199" s="93" t="str">
        <f>IF(ISNA(VLOOKUP(Tableau13[[#This Row],[Code]],'Code Véhicule'!$A$4:$C$185,2,0)),"",VLOOKUP(Tableau13[[#This Row],[Code]],'Code Véhicule'!$A$4:$C$185,2,0))</f>
        <v>Semi remorque</v>
      </c>
      <c r="D1199" s="94" t="str">
        <f>IF(ISNA(VLOOKUP(Tableau13[[#This Row],[Code]],'Code Véhicule'!$A$4:$C$185,3,0)),"",VLOOKUP(Tableau13[[#This Row],[Code]],'Code Véhicule'!$A$4:$C$185,3,0))</f>
        <v>MAN</v>
      </c>
      <c r="E1199" s="92" t="str">
        <f>IF(ISNA(VLOOKUP(Tableau13[[#This Row],[Code]],'Code Véhicule'!$A$4:$D$185,4,0))," ",VLOOKUP(Tableau13[[#This Row],[Code]],'Code Véhicule'!$A$4:$D$185,4,0))</f>
        <v>706-A-73</v>
      </c>
      <c r="F1199" s="92"/>
      <c r="G1199" s="38" t="s">
        <v>334</v>
      </c>
      <c r="H1199" s="38" t="s">
        <v>2237</v>
      </c>
      <c r="I1199" s="36" t="s">
        <v>304</v>
      </c>
      <c r="J1199" s="39" t="s">
        <v>2357</v>
      </c>
      <c r="K1199" s="92"/>
      <c r="L1199" s="96">
        <v>240</v>
      </c>
      <c r="M1199" s="96">
        <v>240</v>
      </c>
      <c r="N1199" s="97">
        <v>45233</v>
      </c>
      <c r="O1199" s="98"/>
      <c r="P1199" s="98"/>
      <c r="Q1199" s="177" t="e">
        <f>MONTH([1]!Tableau13[[#This Row],[Date début]])</f>
        <v>#REF!</v>
      </c>
      <c r="R1199" s="181" t="e">
        <f>YEAR([1]!Tableau13[[#This Row],[Date début]])</f>
        <v>#REF!</v>
      </c>
      <c r="S1199" s="44"/>
      <c r="T1199" s="44"/>
    </row>
    <row r="1200" spans="1:20" s="75" customFormat="1" ht="23.25">
      <c r="A1200" s="91">
        <v>45237</v>
      </c>
      <c r="B1200" s="92">
        <v>410</v>
      </c>
      <c r="C1200" s="93" t="str">
        <f>IF(ISNA(VLOOKUP(Tableau13[[#This Row],[Code]],'Code Véhicule'!$A$4:$C$185,2,0)),"",VLOOKUP(Tableau13[[#This Row],[Code]],'Code Véhicule'!$A$4:$C$185,2,0))</f>
        <v>Semi remorque</v>
      </c>
      <c r="D1200" s="94" t="str">
        <f>IF(ISNA(VLOOKUP(Tableau13[[#This Row],[Code]],'Code Véhicule'!$A$4:$C$185,3,0)),"",VLOOKUP(Tableau13[[#This Row],[Code]],'Code Véhicule'!$A$4:$C$185,3,0))</f>
        <v>MAN</v>
      </c>
      <c r="E1200" s="92" t="str">
        <f>IF(ISNA(VLOOKUP(Tableau13[[#This Row],[Code]],'Code Véhicule'!$A$4:$D$185,4,0))," ",VLOOKUP(Tableau13[[#This Row],[Code]],'Code Véhicule'!$A$4:$D$185,4,0))</f>
        <v xml:space="preserve">28659-D-1 </v>
      </c>
      <c r="F1200" s="92"/>
      <c r="G1200" s="38" t="s">
        <v>610</v>
      </c>
      <c r="H1200" s="38" t="s">
        <v>523</v>
      </c>
      <c r="I1200" s="36" t="s">
        <v>304</v>
      </c>
      <c r="J1200" s="39" t="s">
        <v>2238</v>
      </c>
      <c r="K1200" s="92"/>
      <c r="L1200" s="96">
        <v>240</v>
      </c>
      <c r="M1200" s="96">
        <v>240</v>
      </c>
      <c r="N1200" s="97">
        <v>45237</v>
      </c>
      <c r="O1200" s="98"/>
      <c r="P1200" s="98"/>
      <c r="Q1200" s="177" t="e">
        <f>MONTH([1]!Tableau13[[#This Row],[Date début]])</f>
        <v>#REF!</v>
      </c>
      <c r="R1200" s="181" t="e">
        <f>YEAR([1]!Tableau13[[#This Row],[Date début]])</f>
        <v>#REF!</v>
      </c>
      <c r="S1200" s="44"/>
      <c r="T1200" s="44"/>
    </row>
    <row r="1201" spans="1:20" s="75" customFormat="1" ht="23.25">
      <c r="A1201" s="35">
        <v>45241</v>
      </c>
      <c r="B1201" s="92">
        <v>410</v>
      </c>
      <c r="C1201" s="93" t="str">
        <f>IF(ISNA(VLOOKUP(Tableau13[[#This Row],[Code]],'Code Véhicule'!$A$4:$C$185,2,0)),"",VLOOKUP(Tableau13[[#This Row],[Code]],'Code Véhicule'!$A$4:$C$185,2,0))</f>
        <v>Semi remorque</v>
      </c>
      <c r="D1201" s="94" t="str">
        <f>IF(ISNA(VLOOKUP(Tableau13[[#This Row],[Code]],'Code Véhicule'!$A$4:$C$185,3,0)),"",VLOOKUP(Tableau13[[#This Row],[Code]],'Code Véhicule'!$A$4:$C$185,3,0))</f>
        <v>MAN</v>
      </c>
      <c r="E1201" s="92" t="str">
        <f>IF(ISNA(VLOOKUP(Tableau13[[#This Row],[Code]],'Code Véhicule'!$A$4:$D$185,4,0))," ",VLOOKUP(Tableau13[[#This Row],[Code]],'Code Véhicule'!$A$4:$D$185,4,0))</f>
        <v xml:space="preserve">28659-D-1 </v>
      </c>
      <c r="F1201" s="92"/>
      <c r="G1201" s="38" t="s">
        <v>610</v>
      </c>
      <c r="H1201" s="38" t="s">
        <v>523</v>
      </c>
      <c r="I1201" s="36" t="s">
        <v>304</v>
      </c>
      <c r="J1201" s="39" t="s">
        <v>2238</v>
      </c>
      <c r="K1201" s="92"/>
      <c r="L1201" s="96">
        <v>240</v>
      </c>
      <c r="M1201" s="96">
        <v>240</v>
      </c>
      <c r="N1201" s="97">
        <v>45241</v>
      </c>
      <c r="O1201" s="98"/>
      <c r="P1201" s="98"/>
      <c r="Q1201" s="177" t="e">
        <f>MONTH([1]!Tableau13[[#This Row],[Date début]])</f>
        <v>#REF!</v>
      </c>
      <c r="R1201" s="181" t="e">
        <f>YEAR([1]!Tableau13[[#This Row],[Date début]])</f>
        <v>#REF!</v>
      </c>
      <c r="S1201" s="44"/>
      <c r="T1201" s="44"/>
    </row>
    <row r="1202" spans="1:20" s="75" customFormat="1" ht="75">
      <c r="A1202" s="91">
        <v>45245</v>
      </c>
      <c r="B1202" s="92">
        <v>411</v>
      </c>
      <c r="C1202" s="93" t="str">
        <f>IF(ISNA(VLOOKUP(Tableau13[[#This Row],[Code]],'Code Véhicule'!$A$4:$C$185,2,0)),"",VLOOKUP(Tableau13[[#This Row],[Code]],'Code Véhicule'!$A$4:$C$185,2,0))</f>
        <v>Camion</v>
      </c>
      <c r="D1202" s="94" t="str">
        <f>IF(ISNA(VLOOKUP(Tableau13[[#This Row],[Code]],'Code Véhicule'!$A$4:$C$185,3,0)),"",VLOOKUP(Tableau13[[#This Row],[Code]],'Code Véhicule'!$A$4:$C$185,3,0))</f>
        <v>Renault</v>
      </c>
      <c r="E1202" s="92" t="str">
        <f>IF(ISNA(VLOOKUP(Tableau13[[#This Row],[Code]],'Code Véhicule'!$A$4:$D$185,4,0))," ",VLOOKUP(Tableau13[[#This Row],[Code]],'Code Véhicule'!$A$4:$D$185,4,0))</f>
        <v>25636-A-13</v>
      </c>
      <c r="F1202" s="92"/>
      <c r="G1202" s="38" t="s">
        <v>455</v>
      </c>
      <c r="H1202" s="38" t="s">
        <v>2372</v>
      </c>
      <c r="I1202" s="36" t="s">
        <v>304</v>
      </c>
      <c r="J1202" s="39" t="s">
        <v>2373</v>
      </c>
      <c r="K1202" s="92"/>
      <c r="L1202" s="96">
        <v>8550</v>
      </c>
      <c r="M1202" s="96">
        <v>8550</v>
      </c>
      <c r="N1202" s="97">
        <v>45260</v>
      </c>
      <c r="O1202" s="98"/>
      <c r="P1202" s="98"/>
      <c r="Q1202" s="177" t="e">
        <f>MONTH([1]!Tableau13[[#This Row],[Date début]])</f>
        <v>#REF!</v>
      </c>
      <c r="R1202" s="181" t="e">
        <f>YEAR([1]!Tableau13[[#This Row],[Date début]])</f>
        <v>#REF!</v>
      </c>
      <c r="S1202" s="44"/>
      <c r="T1202" s="44"/>
    </row>
    <row r="1203" spans="1:20" s="75" customFormat="1" ht="23.25">
      <c r="A1203" s="91">
        <v>45246</v>
      </c>
      <c r="B1203" s="92">
        <v>417</v>
      </c>
      <c r="C1203" s="93" t="str">
        <f>IF(ISNA(VLOOKUP(Tableau13[[#This Row],[Code]],'Code Véhicule'!$A$4:$C$185,2,0)),"",VLOOKUP(Tableau13[[#This Row],[Code]],'Code Véhicule'!$A$4:$C$185,2,0))</f>
        <v>Voiture de fonction</v>
      </c>
      <c r="D1203" s="94" t="str">
        <f>IF(ISNA(VLOOKUP(Tableau13[[#This Row],[Code]],'Code Véhicule'!$A$4:$C$185,3,0)),"",VLOOKUP(Tableau13[[#This Row],[Code]],'Code Véhicule'!$A$4:$C$185,3,0))</f>
        <v>Berlingo</v>
      </c>
      <c r="E1203" s="92" t="str">
        <f>IF(ISNA(VLOOKUP(Tableau13[[#This Row],[Code]],'Code Véhicule'!$A$4:$D$185,4,0))," ",VLOOKUP(Tableau13[[#This Row],[Code]],'Code Véhicule'!$A$4:$D$185,4,0))</f>
        <v>981-A-73</v>
      </c>
      <c r="F1203" s="92"/>
      <c r="G1203" s="38" t="s">
        <v>2358</v>
      </c>
      <c r="H1203" s="38" t="s">
        <v>2359</v>
      </c>
      <c r="I1203" s="36" t="s">
        <v>304</v>
      </c>
      <c r="J1203" s="39" t="s">
        <v>2360</v>
      </c>
      <c r="K1203" s="92"/>
      <c r="L1203" s="96">
        <v>570</v>
      </c>
      <c r="M1203" s="96">
        <v>570</v>
      </c>
      <c r="N1203" s="97">
        <v>45246</v>
      </c>
      <c r="O1203" s="98"/>
      <c r="P1203" s="98"/>
      <c r="Q1203" s="177" t="e">
        <f>MONTH([1]!Tableau13[[#This Row],[Date début]])</f>
        <v>#REF!</v>
      </c>
      <c r="R1203" s="181" t="e">
        <f>YEAR([1]!Tableau13[[#This Row],[Date début]])</f>
        <v>#REF!</v>
      </c>
      <c r="S1203" s="44"/>
      <c r="T1203" s="44"/>
    </row>
    <row r="1204" spans="1:20" s="75" customFormat="1" ht="23.25">
      <c r="A1204" s="91">
        <v>45250</v>
      </c>
      <c r="B1204" s="92">
        <v>410</v>
      </c>
      <c r="C1204" s="93" t="str">
        <f>IF(ISNA(VLOOKUP(Tableau13[[#This Row],[Code]],'Code Véhicule'!$A$4:$C$185,2,0)),"",VLOOKUP(Tableau13[[#This Row],[Code]],'Code Véhicule'!$A$4:$C$185,2,0))</f>
        <v>Semi remorque</v>
      </c>
      <c r="D1204" s="94" t="str">
        <f>IF(ISNA(VLOOKUP(Tableau13[[#This Row],[Code]],'Code Véhicule'!$A$4:$C$185,3,0)),"",VLOOKUP(Tableau13[[#This Row],[Code]],'Code Véhicule'!$A$4:$C$185,3,0))</f>
        <v>MAN</v>
      </c>
      <c r="E1204" s="92" t="str">
        <f>IF(ISNA(VLOOKUP(Tableau13[[#This Row],[Code]],'Code Véhicule'!$A$4:$D$185,4,0))," ",VLOOKUP(Tableau13[[#This Row],[Code]],'Code Véhicule'!$A$4:$D$185,4,0))</f>
        <v xml:space="preserve">28659-D-1 </v>
      </c>
      <c r="F1204" s="92"/>
      <c r="G1204" s="38" t="s">
        <v>393</v>
      </c>
      <c r="H1204" s="38" t="s">
        <v>608</v>
      </c>
      <c r="I1204" s="36" t="s">
        <v>304</v>
      </c>
      <c r="J1204" s="39" t="s">
        <v>2362</v>
      </c>
      <c r="K1204" s="92"/>
      <c r="L1204" s="96">
        <v>120</v>
      </c>
      <c r="M1204" s="96">
        <v>120</v>
      </c>
      <c r="N1204" s="97">
        <v>45250</v>
      </c>
      <c r="O1204" s="98"/>
      <c r="P1204" s="98"/>
      <c r="Q1204" s="177" t="e">
        <f>MONTH([1]!Tableau13[[#This Row],[Date début]])</f>
        <v>#REF!</v>
      </c>
      <c r="R1204" s="181" t="e">
        <f>YEAR([1]!Tableau13[[#This Row],[Date début]])</f>
        <v>#REF!</v>
      </c>
      <c r="S1204" s="44"/>
      <c r="T1204" s="44"/>
    </row>
    <row r="1205" spans="1:20" s="75" customFormat="1" ht="23.25">
      <c r="A1205" s="35">
        <v>45251</v>
      </c>
      <c r="B1205" s="92">
        <v>408</v>
      </c>
      <c r="C1205" s="93" t="str">
        <f>IF(ISNA(VLOOKUP(Tableau13[[#This Row],[Code]],'Code Véhicule'!$A$4:$C$185,2,0)),"",VLOOKUP(Tableau13[[#This Row],[Code]],'Code Véhicule'!$A$4:$C$185,2,0))</f>
        <v>Camion</v>
      </c>
      <c r="D1205" s="94" t="str">
        <f>IF(ISNA(VLOOKUP(Tableau13[[#This Row],[Code]],'Code Véhicule'!$A$4:$C$185,3,0)),"",VLOOKUP(Tableau13[[#This Row],[Code]],'Code Véhicule'!$A$4:$C$185,3,0))</f>
        <v>Mitsubishi</v>
      </c>
      <c r="E1205" s="92" t="str">
        <f>IF(ISNA(VLOOKUP(Tableau13[[#This Row],[Code]],'Code Véhicule'!$A$4:$D$185,4,0))," ",VLOOKUP(Tableau13[[#This Row],[Code]],'Code Véhicule'!$A$4:$D$185,4,0))</f>
        <v>4703-A-73</v>
      </c>
      <c r="F1205" s="92"/>
      <c r="G1205" s="38" t="s">
        <v>393</v>
      </c>
      <c r="H1205" s="38" t="s">
        <v>608</v>
      </c>
      <c r="I1205" s="36" t="s">
        <v>304</v>
      </c>
      <c r="J1205" s="39" t="s">
        <v>2362</v>
      </c>
      <c r="K1205" s="92"/>
      <c r="L1205" s="96">
        <v>60</v>
      </c>
      <c r="M1205" s="96">
        <v>60</v>
      </c>
      <c r="N1205" s="97">
        <v>45251</v>
      </c>
      <c r="O1205" s="98"/>
      <c r="P1205" s="98"/>
      <c r="Q1205" s="177" t="e">
        <f>MONTH([1]!Tableau13[[#This Row],[Date début]])</f>
        <v>#REF!</v>
      </c>
      <c r="R1205" s="181" t="e">
        <f>YEAR([1]!Tableau13[[#This Row],[Date début]])</f>
        <v>#REF!</v>
      </c>
      <c r="S1205" s="44"/>
      <c r="T1205" s="44"/>
    </row>
    <row r="1206" spans="1:20" s="75" customFormat="1" ht="30">
      <c r="A1206" s="91">
        <v>45251</v>
      </c>
      <c r="B1206" s="92">
        <v>406</v>
      </c>
      <c r="C1206" s="93" t="str">
        <f>IF(ISNA(VLOOKUP(Tableau13[[#This Row],[Code]],'Code Véhicule'!$A$4:$C$185,2,0)),"",VLOOKUP(Tableau13[[#This Row],[Code]],'Code Véhicule'!$A$4:$C$185,2,0))</f>
        <v>Semi remorque</v>
      </c>
      <c r="D1206" s="94" t="str">
        <f>IF(ISNA(VLOOKUP(Tableau13[[#This Row],[Code]],'Code Véhicule'!$A$4:$C$185,3,0)),"",VLOOKUP(Tableau13[[#This Row],[Code]],'Code Véhicule'!$A$4:$C$185,3,0))</f>
        <v>VOLVO</v>
      </c>
      <c r="E1206" s="92" t="str">
        <f>IF(ISNA(VLOOKUP(Tableau13[[#This Row],[Code]],'Code Véhicule'!$A$4:$D$185,4,0))," ",VLOOKUP(Tableau13[[#This Row],[Code]],'Code Véhicule'!$A$4:$D$185,4,0))</f>
        <v>70352-A-6</v>
      </c>
      <c r="F1206" s="92"/>
      <c r="G1206" s="38" t="s">
        <v>1008</v>
      </c>
      <c r="H1206" s="38" t="s">
        <v>1600</v>
      </c>
      <c r="I1206" s="36" t="s">
        <v>304</v>
      </c>
      <c r="J1206" s="39" t="s">
        <v>2363</v>
      </c>
      <c r="K1206" s="92"/>
      <c r="L1206" s="96">
        <v>60</v>
      </c>
      <c r="M1206" s="96">
        <v>60</v>
      </c>
      <c r="N1206" s="97">
        <v>45251</v>
      </c>
      <c r="O1206" s="98"/>
      <c r="P1206" s="98"/>
      <c r="Q1206" s="177" t="e">
        <f>MONTH([1]!Tableau13[[#This Row],[Date début]])</f>
        <v>#REF!</v>
      </c>
      <c r="R1206" s="181" t="e">
        <f>YEAR([1]!Tableau13[[#This Row],[Date début]])</f>
        <v>#REF!</v>
      </c>
      <c r="S1206" s="44"/>
      <c r="T1206" s="44"/>
    </row>
    <row r="1207" spans="1:20" s="75" customFormat="1" ht="23.25">
      <c r="A1207" s="91">
        <v>45251</v>
      </c>
      <c r="B1207" s="92">
        <v>438</v>
      </c>
      <c r="C1207" s="93" t="str">
        <f>IF(ISNA(VLOOKUP(Tableau13[[#This Row],[Code]],'Code Véhicule'!$A$4:$C$185,2,0)),"",VLOOKUP(Tableau13[[#This Row],[Code]],'Code Véhicule'!$A$4:$C$185,2,0))</f>
        <v>Semi remorque</v>
      </c>
      <c r="D1207" s="94" t="str">
        <f>IF(ISNA(VLOOKUP(Tableau13[[#This Row],[Code]],'Code Véhicule'!$A$4:$C$185,3,0)),"",VLOOKUP(Tableau13[[#This Row],[Code]],'Code Véhicule'!$A$4:$C$185,3,0))</f>
        <v>VOLVO</v>
      </c>
      <c r="E1207" s="92" t="str">
        <f>IF(ISNA(VLOOKUP(Tableau13[[#This Row],[Code]],'Code Véhicule'!$A$4:$D$185,4,0))," ",VLOOKUP(Tableau13[[#This Row],[Code]],'Code Véhicule'!$A$4:$D$185,4,0))</f>
        <v xml:space="preserve">17885-A-73 </v>
      </c>
      <c r="F1207" s="92"/>
      <c r="G1207" s="38" t="s">
        <v>2364</v>
      </c>
      <c r="H1207" s="38" t="s">
        <v>560</v>
      </c>
      <c r="I1207" s="36" t="s">
        <v>304</v>
      </c>
      <c r="J1207" s="39" t="s">
        <v>530</v>
      </c>
      <c r="K1207" s="92"/>
      <c r="L1207" s="96">
        <v>120</v>
      </c>
      <c r="M1207" s="96">
        <v>120</v>
      </c>
      <c r="N1207" s="97">
        <v>45251</v>
      </c>
      <c r="O1207" s="98"/>
      <c r="P1207" s="98"/>
      <c r="Q1207" s="177" t="e">
        <f>MONTH([1]!Tableau13[[#This Row],[Date début]])</f>
        <v>#REF!</v>
      </c>
      <c r="R1207" s="181" t="e">
        <f>YEAR([1]!Tableau13[[#This Row],[Date début]])</f>
        <v>#REF!</v>
      </c>
      <c r="S1207" s="44"/>
      <c r="T1207" s="44"/>
    </row>
    <row r="1208" spans="1:20" s="75" customFormat="1" ht="30">
      <c r="A1208" s="91">
        <v>45252</v>
      </c>
      <c r="B1208" s="92">
        <v>419</v>
      </c>
      <c r="C1208" s="93" t="str">
        <f>IF(ISNA(VLOOKUP(Tableau13[[#This Row],[Code]],'Code Véhicule'!$A$4:$C$185,2,0)),"",VLOOKUP(Tableau13[[#This Row],[Code]],'Code Véhicule'!$A$4:$C$185,2,0))</f>
        <v>Voiture de fonction</v>
      </c>
      <c r="D1208" s="94" t="str">
        <f>IF(ISNA(VLOOKUP(Tableau13[[#This Row],[Code]],'Code Véhicule'!$A$4:$C$185,3,0)),"",VLOOKUP(Tableau13[[#This Row],[Code]],'Code Véhicule'!$A$4:$C$185,3,0))</f>
        <v>kangoo</v>
      </c>
      <c r="E1208" s="92" t="str">
        <f>IF(ISNA(VLOOKUP(Tableau13[[#This Row],[Code]],'Code Véhicule'!$A$4:$D$185,4,0))," ",VLOOKUP(Tableau13[[#This Row],[Code]],'Code Véhicule'!$A$4:$D$185,4,0))</f>
        <v>4812-A-73</v>
      </c>
      <c r="F1208" s="92"/>
      <c r="G1208" s="38" t="s">
        <v>393</v>
      </c>
      <c r="H1208" s="38" t="s">
        <v>608</v>
      </c>
      <c r="I1208" s="36" t="s">
        <v>304</v>
      </c>
      <c r="J1208" s="39" t="s">
        <v>2365</v>
      </c>
      <c r="K1208" s="92"/>
      <c r="L1208" s="96">
        <v>120</v>
      </c>
      <c r="M1208" s="96">
        <v>120</v>
      </c>
      <c r="N1208" s="97">
        <v>45252</v>
      </c>
      <c r="O1208" s="98"/>
      <c r="P1208" s="98"/>
      <c r="Q1208" s="177" t="e">
        <f>MONTH([1]!Tableau13[[#This Row],[Date début]])</f>
        <v>#REF!</v>
      </c>
      <c r="R1208" s="181" t="e">
        <f>YEAR([1]!Tableau13[[#This Row],[Date début]])</f>
        <v>#REF!</v>
      </c>
      <c r="S1208" s="44"/>
      <c r="T1208" s="44"/>
    </row>
    <row r="1209" spans="1:20" s="75" customFormat="1" ht="23.25">
      <c r="A1209" s="91">
        <v>45252</v>
      </c>
      <c r="B1209" s="92">
        <v>407</v>
      </c>
      <c r="C1209" s="93" t="str">
        <f>IF(ISNA(VLOOKUP(Tableau13[[#This Row],[Code]],'Code Véhicule'!$A$4:$C$185,2,0)),"",VLOOKUP(Tableau13[[#This Row],[Code]],'Code Véhicule'!$A$4:$C$185,2,0))</f>
        <v>Semi remorque</v>
      </c>
      <c r="D1209" s="94" t="str">
        <f>IF(ISNA(VLOOKUP(Tableau13[[#This Row],[Code]],'Code Véhicule'!$A$4:$C$185,3,0)),"",VLOOKUP(Tableau13[[#This Row],[Code]],'Code Véhicule'!$A$4:$C$185,3,0))</f>
        <v>MAN</v>
      </c>
      <c r="E1209" s="92" t="str">
        <f>IF(ISNA(VLOOKUP(Tableau13[[#This Row],[Code]],'Code Véhicule'!$A$4:$D$185,4,0))," ",VLOOKUP(Tableau13[[#This Row],[Code]],'Code Véhicule'!$A$4:$D$185,4,0))</f>
        <v>706-A-73</v>
      </c>
      <c r="F1209" s="92"/>
      <c r="G1209" s="38" t="s">
        <v>1013</v>
      </c>
      <c r="H1209" s="38" t="s">
        <v>2237</v>
      </c>
      <c r="I1209" s="36" t="s">
        <v>304</v>
      </c>
      <c r="J1209" s="39" t="s">
        <v>2366</v>
      </c>
      <c r="K1209" s="92"/>
      <c r="L1209" s="96">
        <v>570</v>
      </c>
      <c r="M1209" s="96">
        <v>570</v>
      </c>
      <c r="N1209" s="97">
        <v>45252</v>
      </c>
      <c r="O1209" s="98"/>
      <c r="P1209" s="98"/>
      <c r="Q1209" s="177" t="e">
        <f>MONTH([1]!Tableau13[[#This Row],[Date début]])</f>
        <v>#REF!</v>
      </c>
      <c r="R1209" s="181" t="e">
        <f>YEAR([1]!Tableau13[[#This Row],[Date début]])</f>
        <v>#REF!</v>
      </c>
      <c r="S1209" s="44"/>
      <c r="T1209" s="44"/>
    </row>
    <row r="1210" spans="1:20" s="75" customFormat="1" ht="45">
      <c r="A1210" s="91">
        <v>45257</v>
      </c>
      <c r="B1210" s="92">
        <v>439</v>
      </c>
      <c r="C1210" s="93" t="str">
        <f>IF(ISNA(VLOOKUP(Tableau13[[#This Row],[Code]],'Code Véhicule'!$A$4:$C$185,2,0)),"",VLOOKUP(Tableau13[[#This Row],[Code]],'Code Véhicule'!$A$4:$C$185,2,0))</f>
        <v>Semi remorque</v>
      </c>
      <c r="D1210" s="94" t="str">
        <f>IF(ISNA(VLOOKUP(Tableau13[[#This Row],[Code]],'Code Véhicule'!$A$4:$C$185,3,0)),"",VLOOKUP(Tableau13[[#This Row],[Code]],'Code Véhicule'!$A$4:$C$185,3,0))</f>
        <v>VOLVO</v>
      </c>
      <c r="E1210" s="92" t="str">
        <f>IF(ISNA(VLOOKUP(Tableau13[[#This Row],[Code]],'Code Véhicule'!$A$4:$D$185,4,0))," ",VLOOKUP(Tableau13[[#This Row],[Code]],'Code Véhicule'!$A$4:$D$185,4,0))</f>
        <v xml:space="preserve">17886-A-73 </v>
      </c>
      <c r="F1210" s="92"/>
      <c r="G1210" s="38" t="s">
        <v>525</v>
      </c>
      <c r="H1210" s="38" t="s">
        <v>2369</v>
      </c>
      <c r="I1210" s="36" t="s">
        <v>304</v>
      </c>
      <c r="J1210" s="39" t="s">
        <v>2370</v>
      </c>
      <c r="K1210" s="92"/>
      <c r="L1210" s="96">
        <v>240</v>
      </c>
      <c r="M1210" s="96">
        <v>240</v>
      </c>
      <c r="N1210" s="97">
        <v>45257</v>
      </c>
      <c r="O1210" s="98"/>
      <c r="P1210" s="98"/>
      <c r="Q1210" s="177" t="e">
        <f>MONTH([1]!Tableau13[[#This Row],[Date début]])</f>
        <v>#REF!</v>
      </c>
      <c r="R1210" s="181" t="e">
        <f>YEAR([1]!Tableau13[[#This Row],[Date début]])</f>
        <v>#REF!</v>
      </c>
      <c r="S1210" s="44"/>
      <c r="T1210" s="44"/>
    </row>
    <row r="1211" spans="1:20" s="75" customFormat="1" ht="30">
      <c r="A1211" s="91">
        <v>45257</v>
      </c>
      <c r="B1211" s="92">
        <v>413</v>
      </c>
      <c r="C1211" s="93" t="str">
        <f>IF(ISNA(VLOOKUP(Tableau13[[#This Row],[Code]],'Code Véhicule'!$A$4:$C$185,2,0)),"",VLOOKUP(Tableau13[[#This Row],[Code]],'Code Véhicule'!$A$4:$C$185,2,0))</f>
        <v>Chargeur</v>
      </c>
      <c r="D1211" s="94" t="str">
        <f>IF(ISNA(VLOOKUP(Tableau13[[#This Row],[Code]],'Code Véhicule'!$A$4:$C$185,3,0)),"",VLOOKUP(Tableau13[[#This Row],[Code]],'Code Véhicule'!$A$4:$C$185,3,0))</f>
        <v>Caterpillar</v>
      </c>
      <c r="E1211" s="92" t="str">
        <f>IF(ISNA(VLOOKUP(Tableau13[[#This Row],[Code]],'Code Véhicule'!$A$4:$D$185,4,0))," ",VLOOKUP(Tableau13[[#This Row],[Code]],'Code Véhicule'!$A$4:$D$185,4,0))</f>
        <v>-</v>
      </c>
      <c r="F1211" s="92"/>
      <c r="G1211" s="38" t="s">
        <v>393</v>
      </c>
      <c r="H1211" s="38" t="s">
        <v>2186</v>
      </c>
      <c r="I1211" s="36" t="s">
        <v>302</v>
      </c>
      <c r="J1211" s="39" t="s">
        <v>2365</v>
      </c>
      <c r="K1211" s="92"/>
      <c r="L1211" s="96">
        <v>240</v>
      </c>
      <c r="M1211" s="96">
        <v>240</v>
      </c>
      <c r="N1211" s="97">
        <v>45257</v>
      </c>
      <c r="O1211" s="98"/>
      <c r="P1211" s="98"/>
      <c r="Q1211" s="177" t="e">
        <f>MONTH([1]!Tableau13[[#This Row],[Date début]])</f>
        <v>#REF!</v>
      </c>
      <c r="R1211" s="181" t="e">
        <f>YEAR([1]!Tableau13[[#This Row],[Date début]])</f>
        <v>#REF!</v>
      </c>
      <c r="S1211" s="44"/>
      <c r="T1211" s="44"/>
    </row>
    <row r="1212" spans="1:20" s="75" customFormat="1" ht="23.25">
      <c r="A1212" s="91">
        <v>45259</v>
      </c>
      <c r="B1212" s="92">
        <v>439</v>
      </c>
      <c r="C1212" s="93" t="str">
        <f>IF(ISNA(VLOOKUP(Tableau13[[#This Row],[Code]],'Code Véhicule'!$A$4:$C$185,2,0)),"",VLOOKUP(Tableau13[[#This Row],[Code]],'Code Véhicule'!$A$4:$C$185,2,0))</f>
        <v>Semi remorque</v>
      </c>
      <c r="D1212" s="94" t="str">
        <f>IF(ISNA(VLOOKUP(Tableau13[[#This Row],[Code]],'Code Véhicule'!$A$4:$C$185,3,0)),"",VLOOKUP(Tableau13[[#This Row],[Code]],'Code Véhicule'!$A$4:$C$185,3,0))</f>
        <v>VOLVO</v>
      </c>
      <c r="E1212" s="92" t="str">
        <f>IF(ISNA(VLOOKUP(Tableau13[[#This Row],[Code]],'Code Véhicule'!$A$4:$D$185,4,0))," ",VLOOKUP(Tableau13[[#This Row],[Code]],'Code Véhicule'!$A$4:$D$185,4,0))</f>
        <v xml:space="preserve">17886-A-73 </v>
      </c>
      <c r="F1212" s="92"/>
      <c r="G1212" s="38" t="s">
        <v>393</v>
      </c>
      <c r="H1212" s="38" t="s">
        <v>608</v>
      </c>
      <c r="I1212" s="36" t="s">
        <v>302</v>
      </c>
      <c r="J1212" s="39" t="s">
        <v>2374</v>
      </c>
      <c r="K1212" s="92"/>
      <c r="L1212" s="96">
        <v>120</v>
      </c>
      <c r="M1212" s="96">
        <v>120</v>
      </c>
      <c r="N1212" s="97">
        <v>45259</v>
      </c>
      <c r="O1212" s="98"/>
      <c r="P1212" s="98"/>
      <c r="Q1212" s="177" t="e">
        <f>MONTH([1]!Tableau13[[#This Row],[Date début]])</f>
        <v>#REF!</v>
      </c>
      <c r="R1212" s="181" t="e">
        <f>YEAR([1]!Tableau13[[#This Row],[Date début]])</f>
        <v>#REF!</v>
      </c>
      <c r="S1212" s="44"/>
      <c r="T1212" s="44"/>
    </row>
    <row r="1213" spans="1:20" s="75" customFormat="1" ht="23.25">
      <c r="A1213" s="91">
        <v>45262</v>
      </c>
      <c r="B1213" s="92">
        <v>436</v>
      </c>
      <c r="C1213" s="93" t="str">
        <f>IF(ISNA(VLOOKUP(Tableau13[[#This Row],[Code]],'Code Véhicule'!$A$4:$C$185,2,0)),"",VLOOKUP(Tableau13[[#This Row],[Code]],'Code Véhicule'!$A$4:$C$185,2,0))</f>
        <v>Camion</v>
      </c>
      <c r="D1213" s="94" t="str">
        <f>IF(ISNA(VLOOKUP(Tableau13[[#This Row],[Code]],'Code Véhicule'!$A$4:$C$185,3,0)),"",VLOOKUP(Tableau13[[#This Row],[Code]],'Code Véhicule'!$A$4:$C$185,3,0))</f>
        <v>Mitsubishi</v>
      </c>
      <c r="E1213" s="92" t="str">
        <f>IF(ISNA(VLOOKUP(Tableau13[[#This Row],[Code]],'Code Véhicule'!$A$4:$D$185,4,0))," ",VLOOKUP(Tableau13[[#This Row],[Code]],'Code Véhicule'!$A$4:$D$185,4,0))</f>
        <v>11470-A-73</v>
      </c>
      <c r="F1213" s="92"/>
      <c r="G1213" s="38" t="s">
        <v>327</v>
      </c>
      <c r="H1213" s="38" t="s">
        <v>1084</v>
      </c>
      <c r="I1213" s="36" t="s">
        <v>304</v>
      </c>
      <c r="J1213" s="39" t="s">
        <v>1283</v>
      </c>
      <c r="K1213" s="92"/>
      <c r="L1213" s="96">
        <v>240</v>
      </c>
      <c r="M1213" s="96">
        <v>240</v>
      </c>
      <c r="N1213" s="97">
        <v>45232</v>
      </c>
      <c r="O1213" s="98"/>
      <c r="P1213" s="98"/>
      <c r="Q1213" s="177" t="e">
        <f>MONTH([1]!Tableau13[[#This Row],[Date début]])</f>
        <v>#REF!</v>
      </c>
      <c r="R1213" s="181" t="e">
        <f>YEAR([1]!Tableau13[[#This Row],[Date début]])</f>
        <v>#REF!</v>
      </c>
      <c r="S1213" s="44"/>
      <c r="T1213" s="44"/>
    </row>
    <row r="1214" spans="1:20" s="75" customFormat="1" ht="30">
      <c r="A1214" s="91">
        <v>45265</v>
      </c>
      <c r="B1214" s="92">
        <v>477</v>
      </c>
      <c r="C1214" s="93" t="str">
        <f>IF(ISNA(VLOOKUP(Tableau13[[#This Row],[Code]],'Code Véhicule'!$A$4:$C$185,2,0)),"",VLOOKUP(Tableau13[[#This Row],[Code]],'Code Véhicule'!$A$4:$C$185,2,0))</f>
        <v>Chariot elevateur</v>
      </c>
      <c r="D1214" s="94" t="str">
        <f>IF(ISNA(VLOOKUP(Tableau13[[#This Row],[Code]],'Code Véhicule'!$A$4:$C$185,3,0)),"",VLOOKUP(Tableau13[[#This Row],[Code]],'Code Véhicule'!$A$4:$C$185,3,0))</f>
        <v>Linde H30D</v>
      </c>
      <c r="E1214" s="92" t="str">
        <f>IF(ISNA(VLOOKUP(Tableau13[[#This Row],[Code]],'Code Véhicule'!$A$4:$D$185,4,0))," ",VLOOKUP(Tableau13[[#This Row],[Code]],'Code Véhicule'!$A$4:$D$185,4,0))</f>
        <v>-</v>
      </c>
      <c r="F1214" s="92"/>
      <c r="G1214" s="38" t="s">
        <v>455</v>
      </c>
      <c r="H1214" s="38" t="s">
        <v>2375</v>
      </c>
      <c r="I1214" s="36" t="s">
        <v>304</v>
      </c>
      <c r="J1214" s="39" t="s">
        <v>2376</v>
      </c>
      <c r="K1214" s="92"/>
      <c r="L1214" s="96">
        <f>570*10</f>
        <v>5700</v>
      </c>
      <c r="M1214" s="96">
        <v>5700</v>
      </c>
      <c r="N1214" s="97">
        <v>45280</v>
      </c>
      <c r="O1214" s="98"/>
      <c r="P1214" s="98"/>
      <c r="Q1214" s="177" t="e">
        <f>MONTH([1]!Tableau13[[#This Row],[Date début]])</f>
        <v>#REF!</v>
      </c>
      <c r="R1214" s="181" t="e">
        <f>YEAR([1]!Tableau13[[#This Row],[Date début]])</f>
        <v>#REF!</v>
      </c>
      <c r="S1214" s="44"/>
      <c r="T1214" s="44"/>
    </row>
    <row r="1215" spans="1:20" s="75" customFormat="1" ht="30">
      <c r="A1215" s="91">
        <v>45265</v>
      </c>
      <c r="B1215" s="92">
        <v>480</v>
      </c>
      <c r="C1215" s="93" t="str">
        <f>IF(ISNA(VLOOKUP(Tableau13[[#This Row],[Code]],'Code Véhicule'!$A$4:$C$185,2,0)),"",VLOOKUP(Tableau13[[#This Row],[Code]],'Code Véhicule'!$A$4:$C$185,2,0))</f>
        <v>Camion</v>
      </c>
      <c r="D1215" s="94" t="str">
        <f>IF(ISNA(VLOOKUP(Tableau13[[#This Row],[Code]],'Code Véhicule'!$A$4:$C$185,3,0)),"",VLOOKUP(Tableau13[[#This Row],[Code]],'Code Véhicule'!$A$4:$C$185,3,0))</f>
        <v>VOLVO</v>
      </c>
      <c r="E1215" s="92" t="str">
        <f>IF(ISNA(VLOOKUP(Tableau13[[#This Row],[Code]],'Code Véhicule'!$A$4:$D$185,4,0))," ",VLOOKUP(Tableau13[[#This Row],[Code]],'Code Véhicule'!$A$4:$D$185,4,0))</f>
        <v>22299-A-73</v>
      </c>
      <c r="F1215" s="92"/>
      <c r="G1215" s="38" t="s">
        <v>455</v>
      </c>
      <c r="H1215" s="38" t="s">
        <v>799</v>
      </c>
      <c r="I1215" s="36" t="s">
        <v>304</v>
      </c>
      <c r="J1215" s="39" t="s">
        <v>2377</v>
      </c>
      <c r="K1215" s="92"/>
      <c r="L1215" s="96">
        <v>5700</v>
      </c>
      <c r="M1215" s="96">
        <v>5700</v>
      </c>
      <c r="N1215" s="97">
        <v>45276</v>
      </c>
      <c r="O1215" s="98"/>
      <c r="P1215" s="98"/>
      <c r="Q1215" s="177" t="e">
        <f>MONTH([1]!Tableau13[[#This Row],[Date début]])</f>
        <v>#REF!</v>
      </c>
      <c r="R1215" s="181" t="e">
        <f>YEAR([1]!Tableau13[[#This Row],[Date début]])</f>
        <v>#REF!</v>
      </c>
      <c r="S1215" s="44"/>
      <c r="T1215" s="44"/>
    </row>
    <row r="1216" spans="1:20" s="75" customFormat="1" ht="23.25">
      <c r="A1216" s="91">
        <v>45274</v>
      </c>
      <c r="B1216" s="92">
        <v>480</v>
      </c>
      <c r="C1216" s="93" t="str">
        <f>IF(ISNA(VLOOKUP(Tableau13[[#This Row],[Code]],'Code Véhicule'!$A$4:$C$185,2,0)),"",VLOOKUP(Tableau13[[#This Row],[Code]],'Code Véhicule'!$A$4:$C$185,2,0))</f>
        <v>Camion</v>
      </c>
      <c r="D1216" s="94" t="str">
        <f>IF(ISNA(VLOOKUP(Tableau13[[#This Row],[Code]],'Code Véhicule'!$A$4:$C$185,3,0)),"",VLOOKUP(Tableau13[[#This Row],[Code]],'Code Véhicule'!$A$4:$C$185,3,0))</f>
        <v>VOLVO</v>
      </c>
      <c r="E1216" s="92" t="str">
        <f>IF(ISNA(VLOOKUP(Tableau13[[#This Row],[Code]],'Code Véhicule'!$A$4:$D$185,4,0))," ",VLOOKUP(Tableau13[[#This Row],[Code]],'Code Véhicule'!$A$4:$D$185,4,0))</f>
        <v>22299-A-73</v>
      </c>
      <c r="F1216" s="92"/>
      <c r="G1216" s="38" t="s">
        <v>327</v>
      </c>
      <c r="H1216" s="38" t="s">
        <v>1084</v>
      </c>
      <c r="I1216" s="36" t="s">
        <v>304</v>
      </c>
      <c r="J1216" s="39" t="s">
        <v>2378</v>
      </c>
      <c r="K1216" s="92"/>
      <c r="L1216" s="96">
        <v>120</v>
      </c>
      <c r="M1216" s="96">
        <v>120</v>
      </c>
      <c r="N1216" s="97">
        <v>45274</v>
      </c>
      <c r="O1216" s="98"/>
      <c r="P1216" s="98"/>
      <c r="Q1216" s="177" t="e">
        <f>MONTH([1]!Tableau13[[#This Row],[Date début]])</f>
        <v>#REF!</v>
      </c>
      <c r="R1216" s="181" t="e">
        <f>YEAR([1]!Tableau13[[#This Row],[Date début]])</f>
        <v>#REF!</v>
      </c>
      <c r="S1216" s="44"/>
      <c r="T1216" s="44"/>
    </row>
    <row r="1217" spans="1:20" s="75" customFormat="1" ht="60">
      <c r="A1217" s="91">
        <v>45278</v>
      </c>
      <c r="B1217" s="92">
        <v>481</v>
      </c>
      <c r="C1217" s="93" t="str">
        <f>IF(ISNA(VLOOKUP(Tableau13[[#This Row],[Code]],'Code Véhicule'!$A$4:$C$185,2,0)),"",VLOOKUP(Tableau13[[#This Row],[Code]],'Code Véhicule'!$A$4:$C$185,2,0))</f>
        <v>Camion</v>
      </c>
      <c r="D1217" s="94" t="str">
        <f>IF(ISNA(VLOOKUP(Tableau13[[#This Row],[Code]],'Code Véhicule'!$A$4:$C$185,3,0)),"",VLOOKUP(Tableau13[[#This Row],[Code]],'Code Véhicule'!$A$4:$C$185,3,0))</f>
        <v>VOLVO</v>
      </c>
      <c r="E1217" s="92" t="str">
        <f>IF(ISNA(VLOOKUP(Tableau13[[#This Row],[Code]],'Code Véhicule'!$A$4:$D$185,4,0))," ",VLOOKUP(Tableau13[[#This Row],[Code]],'Code Véhicule'!$A$4:$D$185,4,0))</f>
        <v>22300-A-73</v>
      </c>
      <c r="F1217" s="92"/>
      <c r="G1217" s="38" t="s">
        <v>1856</v>
      </c>
      <c r="H1217" s="38" t="s">
        <v>1084</v>
      </c>
      <c r="I1217" s="36" t="s">
        <v>304</v>
      </c>
      <c r="J1217" s="39" t="s">
        <v>2379</v>
      </c>
      <c r="K1217" s="92"/>
      <c r="L1217" s="96">
        <v>1140</v>
      </c>
      <c r="M1217" s="96">
        <v>1140</v>
      </c>
      <c r="N1217" s="41">
        <v>45280</v>
      </c>
      <c r="O1217" s="98"/>
      <c r="P1217" s="98"/>
      <c r="Q1217" s="177" t="e">
        <f>MONTH([1]!Tableau13[[#This Row],[Date début]])</f>
        <v>#REF!</v>
      </c>
      <c r="R1217" s="181" t="e">
        <f>YEAR([1]!Tableau13[[#This Row],[Date début]])</f>
        <v>#REF!</v>
      </c>
      <c r="S1217" s="44"/>
      <c r="T1217" s="44"/>
    </row>
    <row r="1218" spans="1:20" s="75" customFormat="1" ht="30">
      <c r="A1218" s="91">
        <v>45280</v>
      </c>
      <c r="B1218" s="92">
        <v>479</v>
      </c>
      <c r="C1218" s="93" t="str">
        <f>IF(ISNA(VLOOKUP(Tableau13[[#This Row],[Code]],'Code Véhicule'!$A$4:$C$185,2,0)),"",VLOOKUP(Tableau13[[#This Row],[Code]],'Code Véhicule'!$A$4:$C$185,2,0))</f>
        <v>Bus de transport</v>
      </c>
      <c r="D1218" s="94" t="str">
        <f>IF(ISNA(VLOOKUP(Tableau13[[#This Row],[Code]],'Code Véhicule'!$A$4:$C$185,3,0)),"",VLOOKUP(Tableau13[[#This Row],[Code]],'Code Véhicule'!$A$4:$C$185,3,0))</f>
        <v>Hyundai County</v>
      </c>
      <c r="E1218" s="92" t="str">
        <f>IF(ISNA(VLOOKUP(Tableau13[[#This Row],[Code]],'Code Véhicule'!$A$4:$D$185,4,0))," ",VLOOKUP(Tableau13[[#This Row],[Code]],'Code Véhicule'!$A$4:$D$185,4,0))</f>
        <v>22772-A-73</v>
      </c>
      <c r="F1218" s="92"/>
      <c r="G1218" s="38" t="s">
        <v>545</v>
      </c>
      <c r="H1218" s="38" t="s">
        <v>620</v>
      </c>
      <c r="I1218" s="36" t="s">
        <v>304</v>
      </c>
      <c r="J1218" s="39" t="s">
        <v>2380</v>
      </c>
      <c r="K1218" s="92"/>
      <c r="L1218" s="96">
        <v>5700</v>
      </c>
      <c r="M1218" s="96">
        <v>5700</v>
      </c>
      <c r="N1218" s="97">
        <v>45290</v>
      </c>
      <c r="O1218" s="98"/>
      <c r="P1218" s="98"/>
      <c r="Q1218" s="177" t="e">
        <f>MONTH([1]!Tableau13[[#This Row],[Date début]])</f>
        <v>#REF!</v>
      </c>
      <c r="R1218" s="181" t="e">
        <f>YEAR([1]!Tableau13[[#This Row],[Date début]])</f>
        <v>#REF!</v>
      </c>
      <c r="S1218" s="44"/>
      <c r="T1218" s="44"/>
    </row>
    <row r="1219" spans="1:20" s="75" customFormat="1" ht="30">
      <c r="A1219" s="91">
        <v>45280</v>
      </c>
      <c r="B1219" s="92">
        <v>410</v>
      </c>
      <c r="C1219" s="93" t="str">
        <f>IF(ISNA(VLOOKUP(Tableau13[[#This Row],[Code]],'Code Véhicule'!$A$4:$C$185,2,0)),"",VLOOKUP(Tableau13[[#This Row],[Code]],'Code Véhicule'!$A$4:$C$185,2,0))</f>
        <v>Semi remorque</v>
      </c>
      <c r="D1219" s="94" t="str">
        <f>IF(ISNA(VLOOKUP(Tableau13[[#This Row],[Code]],'Code Véhicule'!$A$4:$C$185,3,0)),"",VLOOKUP(Tableau13[[#This Row],[Code]],'Code Véhicule'!$A$4:$C$185,3,0))</f>
        <v>MAN</v>
      </c>
      <c r="E1219" s="92" t="str">
        <f>IF(ISNA(VLOOKUP(Tableau13[[#This Row],[Code]],'Code Véhicule'!$A$4:$D$185,4,0))," ",VLOOKUP(Tableau13[[#This Row],[Code]],'Code Véhicule'!$A$4:$D$185,4,0))</f>
        <v xml:space="preserve">28659-D-1 </v>
      </c>
      <c r="F1219" s="92"/>
      <c r="G1219" s="38" t="s">
        <v>2381</v>
      </c>
      <c r="H1219" s="38" t="s">
        <v>1034</v>
      </c>
      <c r="I1219" s="36" t="s">
        <v>304</v>
      </c>
      <c r="J1219" s="39" t="s">
        <v>2388</v>
      </c>
      <c r="K1219" s="92"/>
      <c r="L1219" s="96">
        <v>2280</v>
      </c>
      <c r="M1219" s="96">
        <v>2280</v>
      </c>
      <c r="N1219" s="97">
        <v>45285</v>
      </c>
      <c r="O1219" s="98"/>
      <c r="P1219" s="98"/>
      <c r="Q1219" s="177" t="e">
        <f>MONTH([1]!Tableau13[[#This Row],[Date début]])</f>
        <v>#REF!</v>
      </c>
      <c r="R1219" s="181" t="e">
        <f>YEAR([1]!Tableau13[[#This Row],[Date début]])</f>
        <v>#REF!</v>
      </c>
      <c r="S1219" s="44"/>
      <c r="T1219" s="44"/>
    </row>
    <row r="1220" spans="1:20" s="75" customFormat="1" ht="30">
      <c r="A1220" s="91">
        <v>45280</v>
      </c>
      <c r="B1220" s="92">
        <v>429</v>
      </c>
      <c r="C1220" s="93" t="str">
        <f>IF(ISNA(VLOOKUP(Tableau13[[#This Row],[Code]],'Code Véhicule'!$A$4:$C$185,2,0)),"",VLOOKUP(Tableau13[[#This Row],[Code]],'Code Véhicule'!$A$4:$C$185,2,0))</f>
        <v>Chariot elevateur</v>
      </c>
      <c r="D1220" s="94" t="str">
        <f>IF(ISNA(VLOOKUP(Tableau13[[#This Row],[Code]],'Code Véhicule'!$A$4:$C$185,3,0)),"",VLOOKUP(Tableau13[[#This Row],[Code]],'Code Véhicule'!$A$4:$C$185,3,0))</f>
        <v>Fenwick HD30</v>
      </c>
      <c r="E1220" s="92" t="str">
        <f>IF(ISNA(VLOOKUP(Tableau13[[#This Row],[Code]],'Code Véhicule'!$A$4:$D$185,4,0))," ",VLOOKUP(Tableau13[[#This Row],[Code]],'Code Véhicule'!$A$4:$D$185,4,0))</f>
        <v>-</v>
      </c>
      <c r="F1220" s="92"/>
      <c r="G1220" s="38" t="s">
        <v>1016</v>
      </c>
      <c r="H1220" s="38" t="s">
        <v>2382</v>
      </c>
      <c r="I1220" s="36" t="s">
        <v>304</v>
      </c>
      <c r="J1220" s="39" t="s">
        <v>2383</v>
      </c>
      <c r="K1220" s="92"/>
      <c r="L1220" s="96">
        <v>2280</v>
      </c>
      <c r="M1220" s="96">
        <v>2280</v>
      </c>
      <c r="N1220" s="97">
        <v>45285</v>
      </c>
      <c r="O1220" s="98"/>
      <c r="P1220" s="98"/>
      <c r="Q1220" s="177" t="e">
        <f>MONTH([1]!Tableau13[[#This Row],[Date début]])</f>
        <v>#REF!</v>
      </c>
      <c r="R1220" s="181" t="e">
        <f>YEAR([1]!Tableau13[[#This Row],[Date début]])</f>
        <v>#REF!</v>
      </c>
      <c r="S1220" s="44"/>
      <c r="T1220" s="44"/>
    </row>
    <row r="1221" spans="1:20" s="75" customFormat="1" ht="23.25">
      <c r="A1221" s="91">
        <v>45287</v>
      </c>
      <c r="B1221" s="92">
        <v>439</v>
      </c>
      <c r="C1221" s="93" t="str">
        <f>IF(ISNA(VLOOKUP(Tableau13[[#This Row],[Code]],'Code Véhicule'!$A$4:$C$185,2,0)),"",VLOOKUP(Tableau13[[#This Row],[Code]],'Code Véhicule'!$A$4:$C$185,2,0))</f>
        <v>Semi remorque</v>
      </c>
      <c r="D1221" s="94" t="str">
        <f>IF(ISNA(VLOOKUP(Tableau13[[#This Row],[Code]],'Code Véhicule'!$A$4:$C$185,3,0)),"",VLOOKUP(Tableau13[[#This Row],[Code]],'Code Véhicule'!$A$4:$C$185,3,0))</f>
        <v>VOLVO</v>
      </c>
      <c r="E1221" s="92" t="str">
        <f>IF(ISNA(VLOOKUP(Tableau13[[#This Row],[Code]],'Code Véhicule'!$A$4:$D$185,4,0))," ",VLOOKUP(Tableau13[[#This Row],[Code]],'Code Véhicule'!$A$4:$D$185,4,0))</f>
        <v xml:space="preserve">17886-A-73 </v>
      </c>
      <c r="F1221" s="92"/>
      <c r="G1221" s="38" t="s">
        <v>525</v>
      </c>
      <c r="H1221" s="38" t="s">
        <v>2384</v>
      </c>
      <c r="I1221" s="36" t="s">
        <v>304</v>
      </c>
      <c r="J1221" s="39" t="s">
        <v>2385</v>
      </c>
      <c r="K1221" s="92"/>
      <c r="L1221" s="96">
        <v>120</v>
      </c>
      <c r="M1221" s="96">
        <v>120</v>
      </c>
      <c r="N1221" s="97">
        <v>45287</v>
      </c>
      <c r="O1221" s="98"/>
      <c r="P1221" s="98"/>
      <c r="Q1221" s="177" t="e">
        <f>MONTH([1]!Tableau13[[#This Row],[Date début]])</f>
        <v>#REF!</v>
      </c>
      <c r="R1221" s="181" t="e">
        <f>YEAR([1]!Tableau13[[#This Row],[Date début]])</f>
        <v>#REF!</v>
      </c>
      <c r="S1221" s="44"/>
      <c r="T1221" s="44"/>
    </row>
    <row r="1222" spans="1:20" s="75" customFormat="1" ht="30">
      <c r="A1222" s="91">
        <v>45288</v>
      </c>
      <c r="B1222" s="92">
        <v>432</v>
      </c>
      <c r="C1222" s="93" t="str">
        <f>IF(ISNA(VLOOKUP(Tableau13[[#This Row],[Code]],'Code Véhicule'!$A$4:$C$185,2,0)),"",VLOOKUP(Tableau13[[#This Row],[Code]],'Code Véhicule'!$A$4:$C$185,2,0))</f>
        <v>Voiture de fonction</v>
      </c>
      <c r="D1222" s="94" t="str">
        <f>IF(ISNA(VLOOKUP(Tableau13[[#This Row],[Code]],'Code Véhicule'!$A$4:$C$185,3,0)),"",VLOOKUP(Tableau13[[#This Row],[Code]],'Code Véhicule'!$A$4:$C$185,3,0))</f>
        <v>Berlingo</v>
      </c>
      <c r="E1222" s="92" t="str">
        <f>IF(ISNA(VLOOKUP(Tableau13[[#This Row],[Code]],'Code Véhicule'!$A$4:$D$185,4,0))," ",VLOOKUP(Tableau13[[#This Row],[Code]],'Code Véhicule'!$A$4:$D$185,4,0))</f>
        <v xml:space="preserve"> 9660 -A-73</v>
      </c>
      <c r="F1222" s="92"/>
      <c r="G1222" s="38" t="s">
        <v>313</v>
      </c>
      <c r="H1222" s="38" t="s">
        <v>2386</v>
      </c>
      <c r="I1222" s="36" t="s">
        <v>304</v>
      </c>
      <c r="J1222" s="39" t="s">
        <v>2387</v>
      </c>
      <c r="K1222" s="92"/>
      <c r="L1222" s="96">
        <v>1140</v>
      </c>
      <c r="M1222" s="96">
        <v>1140</v>
      </c>
      <c r="N1222" s="97">
        <v>45291</v>
      </c>
      <c r="O1222" s="98"/>
      <c r="P1222" s="98"/>
      <c r="Q1222" s="177" t="e">
        <f>MONTH([1]!Tableau13[[#This Row],[Date début]])</f>
        <v>#REF!</v>
      </c>
      <c r="R1222" s="181" t="e">
        <f>YEAR([1]!Tableau13[[#This Row],[Date début]])</f>
        <v>#REF!</v>
      </c>
      <c r="S1222" s="44"/>
      <c r="T1222" s="44"/>
    </row>
    <row r="1223" spans="1:20" s="75" customFormat="1" ht="23.25">
      <c r="A1223" s="91">
        <v>45288</v>
      </c>
      <c r="B1223" s="92">
        <v>479</v>
      </c>
      <c r="C1223" s="93" t="str">
        <f>IF(ISNA(VLOOKUP(Tableau13[[#This Row],[Code]],'Code Véhicule'!$A$4:$C$185,2,0)),"",VLOOKUP(Tableau13[[#This Row],[Code]],'Code Véhicule'!$A$4:$C$185,2,0))</f>
        <v>Bus de transport</v>
      </c>
      <c r="D1223" s="94" t="str">
        <f>IF(ISNA(VLOOKUP(Tableau13[[#This Row],[Code]],'Code Véhicule'!$A$4:$C$185,3,0)),"",VLOOKUP(Tableau13[[#This Row],[Code]],'Code Véhicule'!$A$4:$C$185,3,0))</f>
        <v>Hyundai County</v>
      </c>
      <c r="E1223" s="92" t="str">
        <f>IF(ISNA(VLOOKUP(Tableau13[[#This Row],[Code]],'Code Véhicule'!$A$4:$D$185,4,0))," ",VLOOKUP(Tableau13[[#This Row],[Code]],'Code Véhicule'!$A$4:$D$185,4,0))</f>
        <v>22772-A-73</v>
      </c>
      <c r="F1223" s="92"/>
      <c r="G1223" s="38" t="s">
        <v>1013</v>
      </c>
      <c r="H1223" s="38" t="s">
        <v>625</v>
      </c>
      <c r="I1223" s="36" t="s">
        <v>304</v>
      </c>
      <c r="J1223" s="39" t="s">
        <v>2389</v>
      </c>
      <c r="K1223" s="92"/>
      <c r="L1223" s="96">
        <v>1140</v>
      </c>
      <c r="M1223" s="96">
        <v>1140</v>
      </c>
      <c r="N1223" s="97">
        <v>45290</v>
      </c>
      <c r="O1223" s="98"/>
      <c r="P1223" s="98"/>
      <c r="Q1223" s="177" t="e">
        <f>MONTH([1]!Tableau13[[#This Row],[Date début]])</f>
        <v>#REF!</v>
      </c>
      <c r="R1223" s="181" t="e">
        <f>YEAR([1]!Tableau13[[#This Row],[Date début]])</f>
        <v>#REF!</v>
      </c>
      <c r="S1223" s="44"/>
      <c r="T1223" s="44"/>
    </row>
    <row r="1224" spans="1:20" s="223" customFormat="1" ht="45">
      <c r="A1224" s="211">
        <v>45292</v>
      </c>
      <c r="B1224" s="212">
        <v>406</v>
      </c>
      <c r="C1224" s="213" t="str">
        <f>IF(ISNA(VLOOKUP(Tableau13[[#This Row],[Code]],'Code Véhicule'!$A$4:$C$185,2,0)),"",VLOOKUP(Tableau13[[#This Row],[Code]],'Code Véhicule'!$A$4:$C$185,2,0))</f>
        <v>Semi remorque</v>
      </c>
      <c r="D1224" s="214" t="str">
        <f>IF(ISNA(VLOOKUP(Tableau13[[#This Row],[Code]],'Code Véhicule'!$A$4:$C$185,3,0)),"",VLOOKUP(Tableau13[[#This Row],[Code]],'Code Véhicule'!$A$4:$C$185,3,0))</f>
        <v>VOLVO</v>
      </c>
      <c r="E1224" s="212" t="str">
        <f>IF(ISNA(VLOOKUP(Tableau13[[#This Row],[Code]],'Code Véhicule'!$A$4:$D$185,4,0))," ",VLOOKUP(Tableau13[[#This Row],[Code]],'Code Véhicule'!$A$4:$D$185,4,0))</f>
        <v>70352-A-6</v>
      </c>
      <c r="F1224" s="212"/>
      <c r="G1224" s="215" t="s">
        <v>2393</v>
      </c>
      <c r="H1224" s="216" t="s">
        <v>2399</v>
      </c>
      <c r="I1224" s="217" t="s">
        <v>304</v>
      </c>
      <c r="J1224" s="218" t="s">
        <v>2400</v>
      </c>
      <c r="K1224" s="212">
        <v>431</v>
      </c>
      <c r="L1224" s="219">
        <v>540</v>
      </c>
      <c r="M1224" s="219">
        <v>1080</v>
      </c>
      <c r="N1224" s="220">
        <v>45293</v>
      </c>
      <c r="O1224" s="221"/>
      <c r="P1224" s="221"/>
      <c r="Q1224" s="212" t="e">
        <f>MONTH([1]!Tableau13[[#This Row],[Date début]])</f>
        <v>#REF!</v>
      </c>
      <c r="R1224" s="214" t="e">
        <f>YEAR([1]!Tableau13[[#This Row],[Date début]])</f>
        <v>#REF!</v>
      </c>
      <c r="S1224" s="222"/>
      <c r="T1224" s="222"/>
    </row>
    <row r="1225" spans="1:20" s="236" customFormat="1" ht="30">
      <c r="A1225" s="224">
        <v>45292</v>
      </c>
      <c r="B1225" s="225">
        <v>479</v>
      </c>
      <c r="C1225" s="226" t="str">
        <f>IF(ISNA(VLOOKUP(Tableau13[[#This Row],[Code]],'Code Véhicule'!$A$4:$C$185,2,0)),"",VLOOKUP(Tableau13[[#This Row],[Code]],'Code Véhicule'!$A$4:$C$185,2,0))</f>
        <v>Bus de transport</v>
      </c>
      <c r="D1225" s="227" t="str">
        <f>IF(ISNA(VLOOKUP(Tableau13[[#This Row],[Code]],'Code Véhicule'!$A$4:$C$185,3,0)),"",VLOOKUP(Tableau13[[#This Row],[Code]],'Code Véhicule'!$A$4:$C$185,3,0))</f>
        <v>Hyundai County</v>
      </c>
      <c r="E1225" s="225" t="str">
        <f>IF(ISNA(VLOOKUP(Tableau13[[#This Row],[Code]],'Code Véhicule'!$A$4:$D$185,4,0))," ",VLOOKUP(Tableau13[[#This Row],[Code]],'Code Véhicule'!$A$4:$D$185,4,0))</f>
        <v>22772-A-73</v>
      </c>
      <c r="F1225" s="225"/>
      <c r="G1225" s="228" t="s">
        <v>2393</v>
      </c>
      <c r="H1225" s="229" t="s">
        <v>397</v>
      </c>
      <c r="I1225" s="230" t="s">
        <v>780</v>
      </c>
      <c r="J1225" s="231" t="s">
        <v>2394</v>
      </c>
      <c r="K1225" s="225" t="s">
        <v>2395</v>
      </c>
      <c r="L1225" s="232">
        <v>360</v>
      </c>
      <c r="M1225" s="232">
        <v>1620</v>
      </c>
      <c r="N1225" s="233">
        <v>45303</v>
      </c>
      <c r="O1225" s="234"/>
      <c r="P1225" s="234"/>
      <c r="Q1225" s="225" t="e">
        <f>MONTH([1]!Tableau13[[#This Row],[Date début]])</f>
        <v>#REF!</v>
      </c>
      <c r="R1225" s="227" t="e">
        <f>YEAR([1]!Tableau13[[#This Row],[Date début]])</f>
        <v>#REF!</v>
      </c>
      <c r="S1225" s="235"/>
      <c r="T1225" s="235"/>
    </row>
    <row r="1226" spans="1:20" ht="30">
      <c r="A1226" s="158">
        <v>45293</v>
      </c>
      <c r="B1226" s="159">
        <v>480</v>
      </c>
      <c r="C1226" s="160" t="str">
        <f>IF(ISNA(VLOOKUP(Tableau13[[#This Row],[Code]],'Code Véhicule'!$A$4:$C$185,2,0)),"",VLOOKUP(Tableau13[[#This Row],[Code]],'Code Véhicule'!$A$4:$C$185,2,0))</f>
        <v>Camion</v>
      </c>
      <c r="D1226" s="161" t="str">
        <f>IF(ISNA(VLOOKUP(Tableau13[[#This Row],[Code]],'Code Véhicule'!$A$4:$C$185,3,0)),"",VLOOKUP(Tableau13[[#This Row],[Code]],'Code Véhicule'!$A$4:$C$185,3,0))</f>
        <v>VOLVO</v>
      </c>
      <c r="E1226" s="159" t="str">
        <f>IF(ISNA(VLOOKUP(Tableau13[[#This Row],[Code]],'Code Véhicule'!$A$4:$D$185,4,0))," ",VLOOKUP(Tableau13[[#This Row],[Code]],'Code Véhicule'!$A$4:$D$185,4,0))</f>
        <v>22299-A-73</v>
      </c>
      <c r="F1226" s="159"/>
      <c r="G1226" s="162" t="s">
        <v>2396</v>
      </c>
      <c r="H1226" s="163" t="s">
        <v>2406</v>
      </c>
      <c r="I1226" s="164" t="s">
        <v>304</v>
      </c>
      <c r="J1226" s="165" t="s">
        <v>2407</v>
      </c>
      <c r="K1226" s="159">
        <v>4105</v>
      </c>
      <c r="L1226" s="166">
        <v>1620</v>
      </c>
      <c r="M1226" s="166">
        <v>2700</v>
      </c>
      <c r="N1226" s="167">
        <v>45298</v>
      </c>
      <c r="O1226" s="168"/>
      <c r="P1226" s="168"/>
      <c r="Q1226" s="159" t="e">
        <f>MONTH([1]!Tableau13[[#This Row],[Date début]])</f>
        <v>#REF!</v>
      </c>
      <c r="R1226" s="161" t="e">
        <f>YEAR([1]!Tableau13[[#This Row],[Date début]])</f>
        <v>#REF!</v>
      </c>
    </row>
    <row r="1227" spans="1:20">
      <c r="A1227" s="158">
        <v>45293</v>
      </c>
      <c r="B1227" s="159">
        <v>420</v>
      </c>
      <c r="C1227" s="160" t="str">
        <f>IF(ISNA(VLOOKUP(Tableau13[[#This Row],[Code]],'Code Véhicule'!$A$4:$C$185,2,0)),"",VLOOKUP(Tableau13[[#This Row],[Code]],'Code Véhicule'!$A$4:$C$185,2,0))</f>
        <v>Chariot elevateur</v>
      </c>
      <c r="D1227" s="161" t="str">
        <f>IF(ISNA(VLOOKUP(Tableau13[[#This Row],[Code]],'Code Véhicule'!$A$4:$C$185,3,0)),"",VLOOKUP(Tableau13[[#This Row],[Code]],'Code Véhicule'!$A$4:$C$185,3,0))</f>
        <v>linde h 45</v>
      </c>
      <c r="E1227" s="159">
        <f>IF(ISNA(VLOOKUP(Tableau13[[#This Row],[Code]],'Code Véhicule'!$A$4:$D$185,4,0))," ",VLOOKUP(Tableau13[[#This Row],[Code]],'Code Véhicule'!$A$4:$D$185,4,0))</f>
        <v>0</v>
      </c>
      <c r="F1227" s="159"/>
      <c r="G1227" s="162" t="s">
        <v>2396</v>
      </c>
      <c r="H1227" s="163" t="s">
        <v>2397</v>
      </c>
      <c r="I1227" s="164" t="s">
        <v>304</v>
      </c>
      <c r="J1227" s="165" t="s">
        <v>591</v>
      </c>
      <c r="K1227" s="184" t="s">
        <v>2398</v>
      </c>
      <c r="L1227" s="166">
        <v>180</v>
      </c>
      <c r="M1227" s="166">
        <v>240</v>
      </c>
      <c r="N1227" s="167">
        <v>45293</v>
      </c>
      <c r="O1227" s="168"/>
      <c r="P1227" s="168"/>
      <c r="Q1227" s="159" t="e">
        <f>MONTH([1]!Tableau13[[#This Row],[Date début]])</f>
        <v>#REF!</v>
      </c>
      <c r="R1227" s="161" t="e">
        <f>YEAR([1]!Tableau13[[#This Row],[Date début]])</f>
        <v>#REF!</v>
      </c>
    </row>
    <row r="1228" spans="1:20" ht="30">
      <c r="A1228" s="158">
        <v>45293</v>
      </c>
      <c r="B1228" s="159">
        <v>426</v>
      </c>
      <c r="C1228" s="160" t="str">
        <f>IF(ISNA(VLOOKUP(Tableau13[[#This Row],[Code]],'Code Véhicule'!$A$4:$C$185,2,0)),"",VLOOKUP(Tableau13[[#This Row],[Code]],'Code Véhicule'!$A$4:$C$185,2,0))</f>
        <v>Chariot elevateur</v>
      </c>
      <c r="D1228" s="161" t="str">
        <f>IF(ISNA(VLOOKUP(Tableau13[[#This Row],[Code]],'Code Véhicule'!$A$4:$C$185,3,0)),"",VLOOKUP(Tableau13[[#This Row],[Code]],'Code Véhicule'!$A$4:$C$185,3,0))</f>
        <v>Manitou MC 30</v>
      </c>
      <c r="E1228" s="159" t="str">
        <f>IF(ISNA(VLOOKUP(Tableau13[[#This Row],[Code]],'Code Véhicule'!$A$4:$D$185,4,0))," ",VLOOKUP(Tableau13[[#This Row],[Code]],'Code Véhicule'!$A$4:$D$185,4,0))</f>
        <v>-</v>
      </c>
      <c r="F1228" s="159"/>
      <c r="G1228" s="162" t="s">
        <v>2417</v>
      </c>
      <c r="H1228" s="163" t="s">
        <v>2418</v>
      </c>
      <c r="I1228" s="164" t="s">
        <v>780</v>
      </c>
      <c r="J1228" s="165" t="s">
        <v>2419</v>
      </c>
      <c r="K1228" s="196"/>
      <c r="L1228" s="166">
        <v>120</v>
      </c>
      <c r="M1228" s="166">
        <v>1080</v>
      </c>
      <c r="N1228" s="167">
        <v>45293</v>
      </c>
      <c r="O1228" s="168"/>
      <c r="P1228" s="168"/>
      <c r="Q1228" s="159" t="e">
        <f>MONTH([1]!Tableau13[[#This Row],[Date début]])</f>
        <v>#REF!</v>
      </c>
      <c r="R1228" s="161" t="e">
        <f>YEAR([1]!Tableau13[[#This Row],[Date début]])</f>
        <v>#REF!</v>
      </c>
    </row>
    <row r="1229" spans="1:20" ht="30">
      <c r="A1229" s="158">
        <v>45293</v>
      </c>
      <c r="B1229" s="159">
        <v>482</v>
      </c>
      <c r="C1229" s="160" t="str">
        <f>IF(ISNA(VLOOKUP(Tableau13[[#This Row],[Code]],'Code Véhicule'!$A$4:$C$185,2,0)),"",VLOOKUP(Tableau13[[#This Row],[Code]],'Code Véhicule'!$A$4:$C$185,2,0))</f>
        <v>Pick up</v>
      </c>
      <c r="D1229" s="161" t="str">
        <f>IF(ISNA(VLOOKUP(Tableau13[[#This Row],[Code]],'Code Véhicule'!$A$4:$C$185,3,0)),"",VLOOKUP(Tableau13[[#This Row],[Code]],'Code Véhicule'!$A$4:$C$185,3,0))</f>
        <v>HYUNDAI H100</v>
      </c>
      <c r="E1229" s="159" t="str">
        <f>IF(ISNA(VLOOKUP(Tableau13[[#This Row],[Code]],'Code Véhicule'!$A$4:$D$185,4,0))," ",VLOOKUP(Tableau13[[#This Row],[Code]],'Code Véhicule'!$A$4:$D$185,4,0))</f>
        <v>22368-A-73</v>
      </c>
      <c r="F1229" s="159"/>
      <c r="G1229" s="162" t="s">
        <v>2396</v>
      </c>
      <c r="H1229" s="163" t="s">
        <v>2420</v>
      </c>
      <c r="I1229" s="164" t="s">
        <v>780</v>
      </c>
      <c r="J1229" s="165" t="s">
        <v>2421</v>
      </c>
      <c r="K1229" s="196"/>
      <c r="L1229" s="166">
        <v>2160</v>
      </c>
      <c r="M1229" s="166">
        <v>2160</v>
      </c>
      <c r="N1229" s="167">
        <v>45293</v>
      </c>
      <c r="O1229" s="168"/>
      <c r="P1229" s="168"/>
      <c r="Q1229" s="159">
        <v>1</v>
      </c>
      <c r="R1229" s="161">
        <v>2024</v>
      </c>
    </row>
    <row r="1230" spans="1:20">
      <c r="A1230" s="158">
        <v>45294</v>
      </c>
      <c r="B1230" s="159">
        <v>408</v>
      </c>
      <c r="C1230" s="160" t="str">
        <f>IF(ISNA(VLOOKUP(Tableau13[[#This Row],[Code]],'Code Véhicule'!$A$4:$C$185,2,0)),"",VLOOKUP(Tableau13[[#This Row],[Code]],'Code Véhicule'!$A$4:$C$185,2,0))</f>
        <v>Camion</v>
      </c>
      <c r="D1230" s="161" t="str">
        <f>IF(ISNA(VLOOKUP(Tableau13[[#This Row],[Code]],'Code Véhicule'!$A$4:$C$185,3,0)),"",VLOOKUP(Tableau13[[#This Row],[Code]],'Code Véhicule'!$A$4:$C$185,3,0))</f>
        <v>Mitsubishi</v>
      </c>
      <c r="E1230" s="159" t="str">
        <f>IF(ISNA(VLOOKUP(Tableau13[[#This Row],[Code]],'Code Véhicule'!$A$4:$D$185,4,0))," ",VLOOKUP(Tableau13[[#This Row],[Code]],'Code Véhicule'!$A$4:$D$185,4,0))</f>
        <v>4703-A-73</v>
      </c>
      <c r="F1230" s="159"/>
      <c r="G1230" s="162" t="s">
        <v>525</v>
      </c>
      <c r="H1230" s="163" t="s">
        <v>560</v>
      </c>
      <c r="I1230" s="164" t="s">
        <v>304</v>
      </c>
      <c r="J1230" s="165" t="s">
        <v>2401</v>
      </c>
      <c r="K1230" s="159">
        <v>4014</v>
      </c>
      <c r="L1230" s="166">
        <v>120</v>
      </c>
      <c r="M1230" s="166">
        <v>120</v>
      </c>
      <c r="N1230" s="167">
        <v>45294</v>
      </c>
      <c r="O1230" s="168"/>
      <c r="P1230" s="168"/>
      <c r="Q1230" s="159" t="e">
        <f>MONTH([1]!Tableau13[[#This Row],[Date début]])</f>
        <v>#REF!</v>
      </c>
      <c r="R1230" s="161" t="e">
        <f>YEAR([1]!Tableau13[[#This Row],[Date début]])</f>
        <v>#REF!</v>
      </c>
    </row>
    <row r="1231" spans="1:20" ht="30">
      <c r="A1231" s="158">
        <v>45294</v>
      </c>
      <c r="B1231" s="159">
        <v>426</v>
      </c>
      <c r="C1231" s="160" t="str">
        <f>IF(ISNA(VLOOKUP(Tableau13[[#This Row],[Code]],'Code Véhicule'!$A$4:$C$185,2,0)),"",VLOOKUP(Tableau13[[#This Row],[Code]],'Code Véhicule'!$A$4:$C$185,2,0))</f>
        <v>Chariot elevateur</v>
      </c>
      <c r="D1231" s="161" t="str">
        <f>IF(ISNA(VLOOKUP(Tableau13[[#This Row],[Code]],'Code Véhicule'!$A$4:$C$185,3,0)),"",VLOOKUP(Tableau13[[#This Row],[Code]],'Code Véhicule'!$A$4:$C$185,3,0))</f>
        <v>Manitou MC 30</v>
      </c>
      <c r="E1231" s="159" t="str">
        <f>IF(ISNA(VLOOKUP(Tableau13[[#This Row],[Code]],'Code Véhicule'!$A$4:$D$185,4,0))," ",VLOOKUP(Tableau13[[#This Row],[Code]],'Code Véhicule'!$A$4:$D$185,4,0))</f>
        <v>-</v>
      </c>
      <c r="F1231" s="159"/>
      <c r="G1231" s="162" t="s">
        <v>2396</v>
      </c>
      <c r="H1231" s="163" t="s">
        <v>2409</v>
      </c>
      <c r="I1231" s="164" t="s">
        <v>304</v>
      </c>
      <c r="J1231" s="165" t="s">
        <v>2410</v>
      </c>
      <c r="K1231" s="185">
        <v>4108</v>
      </c>
      <c r="L1231" s="166">
        <v>480</v>
      </c>
      <c r="M1231" s="166">
        <v>2700</v>
      </c>
      <c r="N1231" s="167">
        <v>45299</v>
      </c>
      <c r="O1231" s="168"/>
      <c r="P1231" s="168"/>
      <c r="Q1231" s="159" t="e">
        <f>MONTH([1]!Tableau13[[#This Row],[Date début]])</f>
        <v>#REF!</v>
      </c>
      <c r="R1231" s="161" t="e">
        <f>YEAR([1]!Tableau13[[#This Row],[Date début]])</f>
        <v>#REF!</v>
      </c>
    </row>
    <row r="1232" spans="1:20">
      <c r="A1232" s="158">
        <v>45294</v>
      </c>
      <c r="B1232" s="159">
        <v>439</v>
      </c>
      <c r="C1232" s="160" t="str">
        <f>IF(ISNA(VLOOKUP(Tableau13[[#This Row],[Code]],'Code Véhicule'!$A$4:$C$185,2,0)),"",VLOOKUP(Tableau13[[#This Row],[Code]],'Code Véhicule'!$A$4:$C$185,2,0))</f>
        <v>Semi remorque</v>
      </c>
      <c r="D1232" s="161" t="str">
        <f>IF(ISNA(VLOOKUP(Tableau13[[#This Row],[Code]],'Code Véhicule'!$A$4:$C$185,3,0)),"",VLOOKUP(Tableau13[[#This Row],[Code]],'Code Véhicule'!$A$4:$C$185,3,0))</f>
        <v>VOLVO</v>
      </c>
      <c r="E1232" s="159" t="str">
        <f>IF(ISNA(VLOOKUP(Tableau13[[#This Row],[Code]],'Code Véhicule'!$A$4:$D$185,4,0))," ",VLOOKUP(Tableau13[[#This Row],[Code]],'Code Véhicule'!$A$4:$D$185,4,0))</f>
        <v xml:space="preserve">17886-A-73 </v>
      </c>
      <c r="F1232" s="159"/>
      <c r="G1232" s="162" t="s">
        <v>2396</v>
      </c>
      <c r="H1232" s="163" t="s">
        <v>2422</v>
      </c>
      <c r="I1232" s="164" t="s">
        <v>780</v>
      </c>
      <c r="J1232" s="165" t="s">
        <v>2423</v>
      </c>
      <c r="K1232" s="196"/>
      <c r="L1232" s="166">
        <v>120</v>
      </c>
      <c r="M1232" s="166">
        <v>120</v>
      </c>
      <c r="N1232" s="167">
        <v>45294</v>
      </c>
      <c r="O1232" s="168"/>
      <c r="P1232" s="168"/>
      <c r="Q1232" s="159" t="e">
        <f>MONTH([1]!Tableau13[[#This Row],[Date début]])</f>
        <v>#REF!</v>
      </c>
      <c r="R1232" s="161" t="e">
        <f>YEAR([1]!Tableau13[[#This Row],[Date début]])</f>
        <v>#REF!</v>
      </c>
    </row>
    <row r="1233" spans="1:18">
      <c r="A1233" s="158">
        <v>45295</v>
      </c>
      <c r="B1233" s="159">
        <v>433</v>
      </c>
      <c r="C1233" s="160" t="str">
        <f>IF(ISNA(VLOOKUP(Tableau13[[#This Row],[Code]],'Code Véhicule'!$A$4:$C$185,2,0)),"",VLOOKUP(Tableau13[[#This Row],[Code]],'Code Véhicule'!$A$4:$C$185,2,0))</f>
        <v>Voiture de fonction</v>
      </c>
      <c r="D1233" s="161" t="str">
        <f>IF(ISNA(VLOOKUP(Tableau13[[#This Row],[Code]],'Code Véhicule'!$A$4:$C$185,3,0)),"",VLOOKUP(Tableau13[[#This Row],[Code]],'Code Véhicule'!$A$4:$C$185,3,0))</f>
        <v>Berlingo</v>
      </c>
      <c r="E1233" s="159" t="str">
        <f>IF(ISNA(VLOOKUP(Tableau13[[#This Row],[Code]],'Code Véhicule'!$A$4:$D$185,4,0))," ",VLOOKUP(Tableau13[[#This Row],[Code]],'Code Véhicule'!$A$4:$D$185,4,0))</f>
        <v>10551-A-73</v>
      </c>
      <c r="F1233" s="159"/>
      <c r="G1233" s="162" t="s">
        <v>2396</v>
      </c>
      <c r="H1233" s="163" t="s">
        <v>2402</v>
      </c>
      <c r="I1233" s="164" t="s">
        <v>304</v>
      </c>
      <c r="J1233" s="165" t="s">
        <v>2403</v>
      </c>
      <c r="K1233" s="159">
        <v>4013</v>
      </c>
      <c r="L1233" s="166">
        <v>540</v>
      </c>
      <c r="M1233" s="166">
        <v>1080</v>
      </c>
      <c r="N1233" s="167">
        <v>45297</v>
      </c>
      <c r="O1233" s="168"/>
      <c r="P1233" s="168"/>
      <c r="Q1233" s="159" t="e">
        <f>MONTH([1]!Tableau13[[#This Row],[Date début]])</f>
        <v>#REF!</v>
      </c>
      <c r="R1233" s="161" t="e">
        <f>YEAR([1]!Tableau13[[#This Row],[Date début]])</f>
        <v>#REF!</v>
      </c>
    </row>
    <row r="1234" spans="1:18">
      <c r="A1234" s="158">
        <v>45295</v>
      </c>
      <c r="B1234" s="159">
        <v>438</v>
      </c>
      <c r="C1234" s="160" t="str">
        <f>IF(ISNA(VLOOKUP(Tableau13[[#This Row],[Code]],'Code Véhicule'!$A$4:$C$185,2,0)),"",VLOOKUP(Tableau13[[#This Row],[Code]],'Code Véhicule'!$A$4:$C$185,2,0))</f>
        <v>Semi remorque</v>
      </c>
      <c r="D1234" s="161" t="str">
        <f>IF(ISNA(VLOOKUP(Tableau13[[#This Row],[Code]],'Code Véhicule'!$A$4:$C$185,3,0)),"",VLOOKUP(Tableau13[[#This Row],[Code]],'Code Véhicule'!$A$4:$C$185,3,0))</f>
        <v>VOLVO</v>
      </c>
      <c r="E1234" s="159" t="str">
        <f>IF(ISNA(VLOOKUP(Tableau13[[#This Row],[Code]],'Code Véhicule'!$A$4:$D$185,4,0))," ",VLOOKUP(Tableau13[[#This Row],[Code]],'Code Véhicule'!$A$4:$D$185,4,0))</f>
        <v xml:space="preserve">17885-A-73 </v>
      </c>
      <c r="F1234" s="159"/>
      <c r="G1234" s="162" t="s">
        <v>2396</v>
      </c>
      <c r="H1234" s="163" t="s">
        <v>2422</v>
      </c>
      <c r="I1234" s="164" t="s">
        <v>780</v>
      </c>
      <c r="J1234" s="165" t="s">
        <v>2424</v>
      </c>
      <c r="K1234" s="196"/>
      <c r="L1234" s="166">
        <v>120</v>
      </c>
      <c r="M1234" s="166">
        <v>1080</v>
      </c>
      <c r="N1234" s="167">
        <v>45295</v>
      </c>
      <c r="O1234" s="168"/>
      <c r="P1234" s="168"/>
      <c r="Q1234" s="159" t="e">
        <f>MONTH([1]!Tableau13[[#This Row],[Date début]])</f>
        <v>#REF!</v>
      </c>
      <c r="R1234" s="161" t="e">
        <f>YEAR([1]!Tableau13[[#This Row],[Date début]])</f>
        <v>#REF!</v>
      </c>
    </row>
    <row r="1235" spans="1:18" ht="30">
      <c r="A1235" s="158">
        <v>45297</v>
      </c>
      <c r="B1235" s="159">
        <v>429</v>
      </c>
      <c r="C1235" s="160" t="str">
        <f>IF(ISNA(VLOOKUP(Tableau13[[#This Row],[Code]],'Code Véhicule'!$A$4:$C$185,2,0)),"",VLOOKUP(Tableau13[[#This Row],[Code]],'Code Véhicule'!$A$4:$C$185,2,0))</f>
        <v>Chariot elevateur</v>
      </c>
      <c r="D1235" s="161" t="str">
        <f>IF(ISNA(VLOOKUP(Tableau13[[#This Row],[Code]],'Code Véhicule'!$A$4:$C$185,3,0)),"",VLOOKUP(Tableau13[[#This Row],[Code]],'Code Véhicule'!$A$4:$C$185,3,0))</f>
        <v>Fenwick HD30</v>
      </c>
      <c r="E1235" s="159" t="str">
        <f>IF(ISNA(VLOOKUP(Tableau13[[#This Row],[Code]],'Code Véhicule'!$A$4:$D$185,4,0))," ",VLOOKUP(Tableau13[[#This Row],[Code]],'Code Véhicule'!$A$4:$D$185,4,0))</f>
        <v>-</v>
      </c>
      <c r="F1235" s="159"/>
      <c r="G1235" s="162" t="s">
        <v>2396</v>
      </c>
      <c r="H1235" s="163" t="s">
        <v>2404</v>
      </c>
      <c r="I1235" s="164" t="s">
        <v>304</v>
      </c>
      <c r="J1235" s="165" t="s">
        <v>2405</v>
      </c>
      <c r="K1235" s="159">
        <v>4104</v>
      </c>
      <c r="L1235" s="166">
        <v>60</v>
      </c>
      <c r="M1235" s="166">
        <v>60</v>
      </c>
      <c r="N1235" s="167">
        <v>45297</v>
      </c>
      <c r="O1235" s="168"/>
      <c r="P1235" s="168"/>
      <c r="Q1235" s="159" t="e">
        <f>MONTH([1]!Tableau13[[#This Row],[Date début]])</f>
        <v>#REF!</v>
      </c>
      <c r="R1235" s="161" t="e">
        <f>YEAR([1]!Tableau13[[#This Row],[Date début]])</f>
        <v>#REF!</v>
      </c>
    </row>
    <row r="1236" spans="1:18">
      <c r="A1236" s="158">
        <v>45297</v>
      </c>
      <c r="B1236" s="159">
        <v>411</v>
      </c>
      <c r="C1236" s="160" t="str">
        <f>IF(ISNA(VLOOKUP(Tableau13[[#This Row],[Code]],'Code Véhicule'!$A$4:$C$185,2,0)),"",VLOOKUP(Tableau13[[#This Row],[Code]],'Code Véhicule'!$A$4:$C$185,2,0))</f>
        <v>Camion</v>
      </c>
      <c r="D1236" s="161" t="str">
        <f>IF(ISNA(VLOOKUP(Tableau13[[#This Row],[Code]],'Code Véhicule'!$A$4:$C$185,3,0)),"",VLOOKUP(Tableau13[[#This Row],[Code]],'Code Véhicule'!$A$4:$C$185,3,0))</f>
        <v>Renault</v>
      </c>
      <c r="E1236" s="159" t="str">
        <f>IF(ISNA(VLOOKUP(Tableau13[[#This Row],[Code]],'Code Véhicule'!$A$4:$D$185,4,0))," ",VLOOKUP(Tableau13[[#This Row],[Code]],'Code Véhicule'!$A$4:$D$185,4,0))</f>
        <v>25636-A-13</v>
      </c>
      <c r="F1236" s="159"/>
      <c r="G1236" s="162" t="s">
        <v>2396</v>
      </c>
      <c r="H1236" s="163" t="s">
        <v>1151</v>
      </c>
      <c r="I1236" s="164" t="s">
        <v>304</v>
      </c>
      <c r="J1236" s="165" t="s">
        <v>2408</v>
      </c>
      <c r="K1236" s="159">
        <v>4107</v>
      </c>
      <c r="L1236" s="166">
        <v>120</v>
      </c>
      <c r="M1236" s="166">
        <v>120</v>
      </c>
      <c r="N1236" s="167">
        <v>45297</v>
      </c>
      <c r="O1236" s="168"/>
      <c r="P1236" s="168"/>
      <c r="Q1236" s="159" t="e">
        <f>MONTH([1]!Tableau13[[#This Row],[Date début]])</f>
        <v>#REF!</v>
      </c>
      <c r="R1236" s="161" t="e">
        <f>YEAR([1]!Tableau13[[#This Row],[Date début]])</f>
        <v>#REF!</v>
      </c>
    </row>
    <row r="1237" spans="1:18" ht="45">
      <c r="A1237" s="158">
        <v>45297</v>
      </c>
      <c r="B1237" s="159">
        <v>409</v>
      </c>
      <c r="C1237" s="160" t="str">
        <f>IF(ISNA(VLOOKUP(Tableau13[[#This Row],[Code]],'Code Véhicule'!$A$4:$C$185,2,0)),"",VLOOKUP(Tableau13[[#This Row],[Code]],'Code Véhicule'!$A$4:$C$185,2,0))</f>
        <v>Camion</v>
      </c>
      <c r="D1237" s="161" t="str">
        <f>IF(ISNA(VLOOKUP(Tableau13[[#This Row],[Code]],'Code Véhicule'!$A$4:$C$185,3,0)),"",VLOOKUP(Tableau13[[#This Row],[Code]],'Code Véhicule'!$A$4:$C$185,3,0))</f>
        <v>Mitsubishi</v>
      </c>
      <c r="E1237" s="159" t="str">
        <f>IF(ISNA(VLOOKUP(Tableau13[[#This Row],[Code]],'Code Véhicule'!$A$4:$D$185,4,0))," ",VLOOKUP(Tableau13[[#This Row],[Code]],'Code Véhicule'!$A$4:$D$185,4,0))</f>
        <v xml:space="preserve">4969-A-73 </v>
      </c>
      <c r="F1237" s="159"/>
      <c r="G1237" s="162" t="s">
        <v>2396</v>
      </c>
      <c r="H1237" s="163" t="s">
        <v>394</v>
      </c>
      <c r="I1237" s="164" t="s">
        <v>304</v>
      </c>
      <c r="J1237" s="165" t="s">
        <v>2428</v>
      </c>
      <c r="K1237" s="196"/>
      <c r="L1237" s="166">
        <v>2160</v>
      </c>
      <c r="M1237" s="166">
        <v>2700</v>
      </c>
      <c r="N1237" s="167">
        <v>45302</v>
      </c>
      <c r="O1237" s="168"/>
      <c r="P1237" s="168"/>
      <c r="Q1237" s="159" t="e">
        <f>MONTH([1]!Tableau13[[#This Row],[Date début]])</f>
        <v>#REF!</v>
      </c>
      <c r="R1237" s="161" t="e">
        <f>YEAR([1]!Tableau13[[#This Row],[Date début]])</f>
        <v>#REF!</v>
      </c>
    </row>
    <row r="1238" spans="1:18" ht="30">
      <c r="A1238" s="158">
        <v>45299</v>
      </c>
      <c r="B1238" s="159">
        <v>480</v>
      </c>
      <c r="C1238" s="160" t="str">
        <f>IF(ISNA(VLOOKUP(Tableau13[[#This Row],[Code]],'Code Véhicule'!$A$4:$C$185,2,0)),"",VLOOKUP(Tableau13[[#This Row],[Code]],'Code Véhicule'!$A$4:$C$185,2,0))</f>
        <v>Camion</v>
      </c>
      <c r="D1238" s="161" t="str">
        <f>IF(ISNA(VLOOKUP(Tableau13[[#This Row],[Code]],'Code Véhicule'!$A$4:$C$185,3,0)),"",VLOOKUP(Tableau13[[#This Row],[Code]],'Code Véhicule'!$A$4:$C$185,3,0))</f>
        <v>VOLVO</v>
      </c>
      <c r="E1238" s="159" t="str">
        <f>IF(ISNA(VLOOKUP(Tableau13[[#This Row],[Code]],'Code Véhicule'!$A$4:$D$185,4,0))," ",VLOOKUP(Tableau13[[#This Row],[Code]],'Code Véhicule'!$A$4:$D$185,4,0))</f>
        <v>22299-A-73</v>
      </c>
      <c r="F1238" s="159"/>
      <c r="G1238" s="162" t="s">
        <v>2391</v>
      </c>
      <c r="H1238" s="163" t="s">
        <v>610</v>
      </c>
      <c r="I1238" s="164" t="s">
        <v>780</v>
      </c>
      <c r="J1238" s="165" t="s">
        <v>2425</v>
      </c>
      <c r="K1238" s="196"/>
      <c r="L1238" s="166">
        <v>1080</v>
      </c>
      <c r="M1238" s="166">
        <v>1620</v>
      </c>
      <c r="N1238" s="167">
        <v>45301</v>
      </c>
      <c r="O1238" s="168"/>
      <c r="P1238" s="168"/>
      <c r="Q1238" s="159" t="e">
        <f>MONTH([1]!Tableau13[[#This Row],[Date début]])</f>
        <v>#REF!</v>
      </c>
      <c r="R1238" s="161" t="e">
        <f>YEAR([1]!Tableau13[[#This Row],[Date début]])</f>
        <v>#REF!</v>
      </c>
    </row>
    <row r="1239" spans="1:18">
      <c r="A1239" s="158">
        <v>45301</v>
      </c>
      <c r="B1239" s="159">
        <v>481</v>
      </c>
      <c r="C1239" s="160" t="str">
        <f>IF(ISNA(VLOOKUP(Tableau13[[#This Row],[Code]],'Code Véhicule'!$A$4:$C$185,2,0)),"",VLOOKUP(Tableau13[[#This Row],[Code]],'Code Véhicule'!$A$4:$C$185,2,0))</f>
        <v>Camion</v>
      </c>
      <c r="D1239" s="161" t="str">
        <f>IF(ISNA(VLOOKUP(Tableau13[[#This Row],[Code]],'Code Véhicule'!$A$4:$C$185,3,0)),"",VLOOKUP(Tableau13[[#This Row],[Code]],'Code Véhicule'!$A$4:$C$185,3,0))</f>
        <v>VOLVO</v>
      </c>
      <c r="E1239" s="159" t="str">
        <f>IF(ISNA(VLOOKUP(Tableau13[[#This Row],[Code]],'Code Véhicule'!$A$4:$D$185,4,0))," ",VLOOKUP(Tableau13[[#This Row],[Code]],'Code Véhicule'!$A$4:$D$185,4,0))</f>
        <v>22300-A-73</v>
      </c>
      <c r="F1239" s="159"/>
      <c r="G1239" s="162" t="s">
        <v>2396</v>
      </c>
      <c r="H1239" s="163" t="s">
        <v>661</v>
      </c>
      <c r="I1239" s="164" t="s">
        <v>304</v>
      </c>
      <c r="J1239" s="165" t="s">
        <v>2426</v>
      </c>
      <c r="K1239" s="196"/>
      <c r="L1239" s="166">
        <v>1080</v>
      </c>
      <c r="M1239" s="166">
        <v>1080</v>
      </c>
      <c r="N1239" s="167">
        <v>45301</v>
      </c>
      <c r="O1239" s="168"/>
      <c r="P1239" s="168"/>
      <c r="Q1239" s="159" t="e">
        <f>MONTH([1]!Tableau13[[#This Row],[Date début]])</f>
        <v>#REF!</v>
      </c>
      <c r="R1239" s="161" t="e">
        <f>YEAR([1]!Tableau13[[#This Row],[Date début]])</f>
        <v>#REF!</v>
      </c>
    </row>
    <row r="1240" spans="1:18" ht="30">
      <c r="A1240" s="158">
        <v>45301</v>
      </c>
      <c r="B1240" s="159">
        <v>435</v>
      </c>
      <c r="C1240" s="160" t="str">
        <f>IF(ISNA(VLOOKUP(Tableau13[[#This Row],[Code]],'Code Véhicule'!$A$4:$C$185,2,0)),"",VLOOKUP(Tableau13[[#This Row],[Code]],'Code Véhicule'!$A$4:$C$185,2,0))</f>
        <v>Camion</v>
      </c>
      <c r="D1240" s="161" t="str">
        <f>IF(ISNA(VLOOKUP(Tableau13[[#This Row],[Code]],'Code Véhicule'!$A$4:$C$185,3,0)),"",VLOOKUP(Tableau13[[#This Row],[Code]],'Code Véhicule'!$A$4:$C$185,3,0))</f>
        <v>Mitsubishi</v>
      </c>
      <c r="E1240" s="159" t="str">
        <f>IF(ISNA(VLOOKUP(Tableau13[[#This Row],[Code]],'Code Véhicule'!$A$4:$D$185,4,0))," ",VLOOKUP(Tableau13[[#This Row],[Code]],'Code Véhicule'!$A$4:$D$185,4,0))</f>
        <v xml:space="preserve"> 11469-A-73</v>
      </c>
      <c r="F1240" s="159"/>
      <c r="G1240" s="162" t="s">
        <v>2396</v>
      </c>
      <c r="H1240" s="163" t="s">
        <v>2404</v>
      </c>
      <c r="I1240" s="164" t="s">
        <v>304</v>
      </c>
      <c r="J1240" s="165" t="s">
        <v>2427</v>
      </c>
      <c r="K1240" s="196"/>
      <c r="L1240" s="166">
        <v>1080</v>
      </c>
      <c r="M1240" s="166">
        <v>1080</v>
      </c>
      <c r="N1240" s="167">
        <v>45301</v>
      </c>
      <c r="O1240" s="168"/>
      <c r="P1240" s="168"/>
      <c r="Q1240" s="159" t="e">
        <f>MONTH([1]!Tableau13[[#This Row],[Date début]])</f>
        <v>#REF!</v>
      </c>
      <c r="R1240" s="161" t="e">
        <f>YEAR([1]!Tableau13[[#This Row],[Date début]])</f>
        <v>#REF!</v>
      </c>
    </row>
    <row r="1241" spans="1:18" ht="30">
      <c r="A1241" s="158">
        <v>45301</v>
      </c>
      <c r="B1241" s="159">
        <v>426</v>
      </c>
      <c r="C1241" s="160" t="str">
        <f>IF(ISNA(VLOOKUP(Tableau13[[#This Row],[Code]],'Code Véhicule'!$A$4:$C$185,2,0)),"",VLOOKUP(Tableau13[[#This Row],[Code]],'Code Véhicule'!$A$4:$C$185,2,0))</f>
        <v>Chariot elevateur</v>
      </c>
      <c r="D1241" s="161" t="str">
        <f>IF(ISNA(VLOOKUP(Tableau13[[#This Row],[Code]],'Code Véhicule'!$A$4:$C$185,3,0)),"",VLOOKUP(Tableau13[[#This Row],[Code]],'Code Véhicule'!$A$4:$C$185,3,0))</f>
        <v>Manitou MC 30</v>
      </c>
      <c r="E1241" s="159" t="str">
        <f>IF(ISNA(VLOOKUP(Tableau13[[#This Row],[Code]],'Code Véhicule'!$A$4:$D$185,4,0))," ",VLOOKUP(Tableau13[[#This Row],[Code]],'Code Véhicule'!$A$4:$D$185,4,0))</f>
        <v>-</v>
      </c>
      <c r="F1241" s="159"/>
      <c r="G1241" s="162" t="s">
        <v>2396</v>
      </c>
      <c r="H1241" s="163" t="s">
        <v>493</v>
      </c>
      <c r="I1241" s="164" t="s">
        <v>304</v>
      </c>
      <c r="J1241" s="165" t="s">
        <v>2429</v>
      </c>
      <c r="K1241" s="196"/>
      <c r="L1241" s="166">
        <v>1080</v>
      </c>
      <c r="M1241" s="166">
        <v>1080</v>
      </c>
      <c r="N1241" s="167">
        <v>45303</v>
      </c>
      <c r="O1241" s="168"/>
      <c r="P1241" s="168"/>
      <c r="Q1241" s="159" t="e">
        <f>MONTH([1]!Tableau13[[#This Row],[Date début]])</f>
        <v>#REF!</v>
      </c>
      <c r="R1241" s="161" t="e">
        <f>YEAR([1]!Tableau13[[#This Row],[Date début]])</f>
        <v>#REF!</v>
      </c>
    </row>
    <row r="1242" spans="1:18" ht="45">
      <c r="A1242" s="158">
        <v>45305</v>
      </c>
      <c r="B1242" s="159">
        <v>432</v>
      </c>
      <c r="C1242" s="160" t="str">
        <f>IF(ISNA(VLOOKUP(Tableau13[[#This Row],[Code]],'Code Véhicule'!$A$4:$C$185,2,0)),"",VLOOKUP(Tableau13[[#This Row],[Code]],'Code Véhicule'!$A$4:$C$185,2,0))</f>
        <v>Voiture de fonction</v>
      </c>
      <c r="D1242" s="161" t="str">
        <f>IF(ISNA(VLOOKUP(Tableau13[[#This Row],[Code]],'Code Véhicule'!$A$4:$C$185,3,0)),"",VLOOKUP(Tableau13[[#This Row],[Code]],'Code Véhicule'!$A$4:$C$185,3,0))</f>
        <v>Berlingo</v>
      </c>
      <c r="E1242" s="159" t="str">
        <f>IF(ISNA(VLOOKUP(Tableau13[[#This Row],[Code]],'Code Véhicule'!$A$4:$D$185,4,0))," ",VLOOKUP(Tableau13[[#This Row],[Code]],'Code Véhicule'!$A$4:$D$185,4,0))</f>
        <v xml:space="preserve"> 9660 -A-73</v>
      </c>
      <c r="F1242" s="159"/>
      <c r="G1242" s="162" t="s">
        <v>2396</v>
      </c>
      <c r="H1242" s="163" t="s">
        <v>397</v>
      </c>
      <c r="I1242" s="164" t="s">
        <v>304</v>
      </c>
      <c r="J1242" s="165" t="s">
        <v>2430</v>
      </c>
      <c r="K1242" s="196"/>
      <c r="L1242" s="166">
        <v>1080</v>
      </c>
      <c r="M1242" s="166">
        <v>1080</v>
      </c>
      <c r="N1242" s="167">
        <v>45307</v>
      </c>
      <c r="O1242" s="168"/>
      <c r="P1242" s="168"/>
      <c r="Q1242" s="159" t="e">
        <f>MONTH([1]!Tableau13[[#This Row],[Date début]])</f>
        <v>#REF!</v>
      </c>
      <c r="R1242" s="161" t="e">
        <f>YEAR([1]!Tableau13[[#This Row],[Date début]])</f>
        <v>#REF!</v>
      </c>
    </row>
    <row r="1243" spans="1:18" ht="30">
      <c r="A1243" s="158">
        <v>45305</v>
      </c>
      <c r="B1243" s="159">
        <v>408</v>
      </c>
      <c r="C1243" s="160" t="str">
        <f>IF(ISNA(VLOOKUP(Tableau13[[#This Row],[Code]],'Code Véhicule'!$A$4:$C$185,2,0)),"",VLOOKUP(Tableau13[[#This Row],[Code]],'Code Véhicule'!$A$4:$C$185,2,0))</f>
        <v>Camion</v>
      </c>
      <c r="D1243" s="161" t="str">
        <f>IF(ISNA(VLOOKUP(Tableau13[[#This Row],[Code]],'Code Véhicule'!$A$4:$C$185,3,0)),"",VLOOKUP(Tableau13[[#This Row],[Code]],'Code Véhicule'!$A$4:$C$185,3,0))</f>
        <v>Mitsubishi</v>
      </c>
      <c r="E1243" s="159" t="str">
        <f>IF(ISNA(VLOOKUP(Tableau13[[#This Row],[Code]],'Code Véhicule'!$A$4:$D$185,4,0))," ",VLOOKUP(Tableau13[[#This Row],[Code]],'Code Véhicule'!$A$4:$D$185,4,0))</f>
        <v>4703-A-73</v>
      </c>
      <c r="F1243" s="159"/>
      <c r="G1243" s="162" t="s">
        <v>2396</v>
      </c>
      <c r="H1243" s="163" t="s">
        <v>2431</v>
      </c>
      <c r="I1243" s="164" t="s">
        <v>780</v>
      </c>
      <c r="J1243" s="165" t="s">
        <v>2432</v>
      </c>
      <c r="K1243" s="159">
        <v>4363</v>
      </c>
      <c r="L1243" s="166">
        <v>480</v>
      </c>
      <c r="M1243" s="166">
        <v>1620</v>
      </c>
      <c r="N1243" s="167">
        <v>45308</v>
      </c>
      <c r="O1243" s="168"/>
      <c r="P1243" s="168"/>
      <c r="Q1243" s="159" t="e">
        <f>MONTH([1]!Tableau13[[#This Row],[Date début]])</f>
        <v>#REF!</v>
      </c>
      <c r="R1243" s="161" t="e">
        <f>YEAR([1]!Tableau13[[#This Row],[Date début]])</f>
        <v>#REF!</v>
      </c>
    </row>
    <row r="1244" spans="1:18" ht="60">
      <c r="A1244" s="158">
        <v>45306</v>
      </c>
      <c r="B1244" s="159">
        <v>436</v>
      </c>
      <c r="C1244" s="160" t="str">
        <f>IF(ISNA(VLOOKUP(Tableau13[[#This Row],[Code]],'Code Véhicule'!$A$4:$C$185,2,0)),"",VLOOKUP(Tableau13[[#This Row],[Code]],'Code Véhicule'!$A$4:$C$185,2,0))</f>
        <v>Camion</v>
      </c>
      <c r="D1244" s="161" t="str">
        <f>IF(ISNA(VLOOKUP(Tableau13[[#This Row],[Code]],'Code Véhicule'!$A$4:$C$185,3,0)),"",VLOOKUP(Tableau13[[#This Row],[Code]],'Code Véhicule'!$A$4:$C$185,3,0))</f>
        <v>Mitsubishi</v>
      </c>
      <c r="E1244" s="159" t="str">
        <f>IF(ISNA(VLOOKUP(Tableau13[[#This Row],[Code]],'Code Véhicule'!$A$4:$D$185,4,0))," ",VLOOKUP(Tableau13[[#This Row],[Code]],'Code Véhicule'!$A$4:$D$185,4,0))</f>
        <v>11470-A-73</v>
      </c>
      <c r="F1244" s="159"/>
      <c r="G1244" s="162" t="s">
        <v>2396</v>
      </c>
      <c r="H1244" s="163" t="s">
        <v>397</v>
      </c>
      <c r="I1244" s="164" t="s">
        <v>780</v>
      </c>
      <c r="J1244" s="165" t="s">
        <v>2438</v>
      </c>
      <c r="K1244" s="159" t="s">
        <v>2439</v>
      </c>
      <c r="L1244" s="166">
        <v>2700</v>
      </c>
      <c r="M1244" s="166">
        <v>3780</v>
      </c>
      <c r="N1244" s="167">
        <v>45313</v>
      </c>
      <c r="O1244" s="168"/>
      <c r="P1244" s="168"/>
      <c r="Q1244" s="159" t="e">
        <f>MONTH([1]!Tableau13[[#This Row],[Date début]])</f>
        <v>#REF!</v>
      </c>
      <c r="R1244" s="161" t="e">
        <f>YEAR([1]!Tableau13[[#This Row],[Date début]])</f>
        <v>#REF!</v>
      </c>
    </row>
    <row r="1245" spans="1:18" ht="36.75" customHeight="1">
      <c r="A1245" s="158">
        <v>45308</v>
      </c>
      <c r="B1245" s="159">
        <v>411</v>
      </c>
      <c r="C1245" s="160" t="str">
        <f>IF(ISNA(VLOOKUP(Tableau13[[#This Row],[Code]],'Code Véhicule'!$A$4:$C$185,2,0)),"",VLOOKUP(Tableau13[[#This Row],[Code]],'Code Véhicule'!$A$4:$C$185,2,0))</f>
        <v>Camion</v>
      </c>
      <c r="D1245" s="161" t="str">
        <f>IF(ISNA(VLOOKUP(Tableau13[[#This Row],[Code]],'Code Véhicule'!$A$4:$C$185,3,0)),"",VLOOKUP(Tableau13[[#This Row],[Code]],'Code Véhicule'!$A$4:$C$185,3,0))</f>
        <v>Renault</v>
      </c>
      <c r="E1245" s="159" t="str">
        <f>IF(ISNA(VLOOKUP(Tableau13[[#This Row],[Code]],'Code Véhicule'!$A$4:$D$185,4,0))," ",VLOOKUP(Tableau13[[#This Row],[Code]],'Code Véhicule'!$A$4:$D$185,4,0))</f>
        <v>25636-A-13</v>
      </c>
      <c r="F1245" s="159"/>
      <c r="G1245" s="162" t="s">
        <v>2396</v>
      </c>
      <c r="H1245" s="163" t="s">
        <v>2433</v>
      </c>
      <c r="I1245" s="164" t="s">
        <v>780</v>
      </c>
      <c r="J1245" s="165" t="s">
        <v>2434</v>
      </c>
      <c r="K1245" s="159" t="s">
        <v>2435</v>
      </c>
      <c r="L1245" s="166">
        <v>540</v>
      </c>
      <c r="M1245" s="166">
        <v>540</v>
      </c>
      <c r="N1245" s="167">
        <v>45308</v>
      </c>
      <c r="O1245" s="168"/>
      <c r="P1245" s="168"/>
      <c r="Q1245" s="159" t="e">
        <f>MONTH([1]!Tableau13[[#This Row],[Date début]])</f>
        <v>#REF!</v>
      </c>
      <c r="R1245" s="161" t="e">
        <f>YEAR([1]!Tableau13[[#This Row],[Date début]])</f>
        <v>#REF!</v>
      </c>
    </row>
    <row r="1246" spans="1:18" ht="30">
      <c r="A1246" s="158">
        <v>45309</v>
      </c>
      <c r="B1246" s="159">
        <v>410</v>
      </c>
      <c r="C1246" s="160" t="str">
        <f>IF(ISNA(VLOOKUP(Tableau13[[#This Row],[Code]],'Code Véhicule'!$A$4:$C$185,2,0)),"",VLOOKUP(Tableau13[[#This Row],[Code]],'Code Véhicule'!$A$4:$C$185,2,0))</f>
        <v>Semi remorque</v>
      </c>
      <c r="D1246" s="161" t="str">
        <f>IF(ISNA(VLOOKUP(Tableau13[[#This Row],[Code]],'Code Véhicule'!$A$4:$C$185,3,0)),"",VLOOKUP(Tableau13[[#This Row],[Code]],'Code Véhicule'!$A$4:$C$185,3,0))</f>
        <v>MAN</v>
      </c>
      <c r="E1246" s="159" t="str">
        <f>IF(ISNA(VLOOKUP(Tableau13[[#This Row],[Code]],'Code Véhicule'!$A$4:$D$185,4,0))," ",VLOOKUP(Tableau13[[#This Row],[Code]],'Code Véhicule'!$A$4:$D$185,4,0))</f>
        <v xml:space="preserve">28659-D-1 </v>
      </c>
      <c r="F1246" s="159"/>
      <c r="G1246" s="162" t="s">
        <v>2396</v>
      </c>
      <c r="H1246" s="163" t="s">
        <v>2440</v>
      </c>
      <c r="I1246" s="164" t="s">
        <v>780</v>
      </c>
      <c r="J1246" s="165" t="s">
        <v>2441</v>
      </c>
      <c r="K1246" s="159">
        <v>4489</v>
      </c>
      <c r="L1246" s="166">
        <v>1080</v>
      </c>
      <c r="M1246" s="166">
        <v>1620</v>
      </c>
      <c r="N1246" s="167">
        <v>45312</v>
      </c>
      <c r="O1246" s="168"/>
      <c r="P1246" s="168"/>
      <c r="Q1246" s="159" t="e">
        <f>MONTH([1]!Tableau13[[#This Row],[Date début]])</f>
        <v>#REF!</v>
      </c>
      <c r="R1246" s="161" t="e">
        <f>YEAR([1]!Tableau13[[#This Row],[Date début]])</f>
        <v>#REF!</v>
      </c>
    </row>
    <row r="1247" spans="1:18" ht="30">
      <c r="A1247" s="158">
        <v>45313</v>
      </c>
      <c r="B1247" s="159">
        <v>429</v>
      </c>
      <c r="C1247" s="160" t="str">
        <f>IF(ISNA(VLOOKUP(Tableau13[[#This Row],[Code]],'Code Véhicule'!$A$4:$C$185,2,0)),"",VLOOKUP(Tableau13[[#This Row],[Code]],'Code Véhicule'!$A$4:$C$185,2,0))</f>
        <v>Chariot elevateur</v>
      </c>
      <c r="D1247" s="161" t="str">
        <f>IF(ISNA(VLOOKUP(Tableau13[[#This Row],[Code]],'Code Véhicule'!$A$4:$C$185,3,0)),"",VLOOKUP(Tableau13[[#This Row],[Code]],'Code Véhicule'!$A$4:$C$185,3,0))</f>
        <v>Fenwick HD30</v>
      </c>
      <c r="E1247" s="159" t="str">
        <f>IF(ISNA(VLOOKUP(Tableau13[[#This Row],[Code]],'Code Véhicule'!$A$4:$D$185,4,0))," ",VLOOKUP(Tableau13[[#This Row],[Code]],'Code Véhicule'!$A$4:$D$185,4,0))</f>
        <v>-</v>
      </c>
      <c r="F1247" s="159"/>
      <c r="G1247" s="162" t="s">
        <v>2396</v>
      </c>
      <c r="H1247" s="163" t="s">
        <v>2436</v>
      </c>
      <c r="I1247" s="164" t="s">
        <v>780</v>
      </c>
      <c r="J1247" s="165" t="s">
        <v>2437</v>
      </c>
      <c r="K1247" s="159">
        <v>4405</v>
      </c>
      <c r="L1247" s="166">
        <v>2700</v>
      </c>
      <c r="M1247" s="166">
        <v>3780</v>
      </c>
      <c r="N1247" s="167">
        <v>45320</v>
      </c>
      <c r="O1247" s="168"/>
      <c r="P1247" s="168"/>
      <c r="Q1247" s="159" t="e">
        <f>MONTH([1]!Tableau13[[#This Row],[Date début]])</f>
        <v>#REF!</v>
      </c>
      <c r="R1247" s="161" t="e">
        <f>YEAR([1]!Tableau13[[#This Row],[Date début]])</f>
        <v>#REF!</v>
      </c>
    </row>
    <row r="1248" spans="1:18" ht="30">
      <c r="A1248" s="158">
        <v>45313</v>
      </c>
      <c r="B1248" s="159">
        <v>403</v>
      </c>
      <c r="C1248" s="160" t="str">
        <f>IF(ISNA(VLOOKUP(Tableau13[[#This Row],[Code]],'Code Véhicule'!$A$4:$C$185,2,0)),"",VLOOKUP(Tableau13[[#This Row],[Code]],'Code Véhicule'!$A$4:$C$185,2,0))</f>
        <v>Camion</v>
      </c>
      <c r="D1248" s="161" t="str">
        <f>IF(ISNA(VLOOKUP(Tableau13[[#This Row],[Code]],'Code Véhicule'!$A$4:$C$185,3,0)),"",VLOOKUP(Tableau13[[#This Row],[Code]],'Code Véhicule'!$A$4:$C$185,3,0))</f>
        <v>MAN</v>
      </c>
      <c r="E1248" s="159" t="str">
        <f>IF(ISNA(VLOOKUP(Tableau13[[#This Row],[Code]],'Code Véhicule'!$A$4:$D$185,4,0))," ",VLOOKUP(Tableau13[[#This Row],[Code]],'Code Véhicule'!$A$4:$D$185,4,0))</f>
        <v>4790-B-8</v>
      </c>
      <c r="F1248" s="159"/>
      <c r="G1248" s="162" t="s">
        <v>2396</v>
      </c>
      <c r="H1248" s="163" t="s">
        <v>2446</v>
      </c>
      <c r="I1248" s="164" t="s">
        <v>780</v>
      </c>
      <c r="J1248" s="165" t="s">
        <v>2447</v>
      </c>
      <c r="K1248" s="159">
        <v>4598</v>
      </c>
      <c r="L1248" s="166">
        <v>1620</v>
      </c>
      <c r="M1248" s="166">
        <v>2160</v>
      </c>
      <c r="N1248" s="167">
        <v>45317</v>
      </c>
      <c r="O1248" s="168"/>
      <c r="P1248" s="168"/>
      <c r="Q1248" s="159" t="e">
        <f>MONTH([1]!Tableau13[[#This Row],[Date début]])</f>
        <v>#REF!</v>
      </c>
      <c r="R1248" s="161" t="e">
        <f>YEAR([1]!Tableau13[[#This Row],[Date début]])</f>
        <v>#REF!</v>
      </c>
    </row>
    <row r="1249" spans="1:20" ht="75">
      <c r="A1249" s="158">
        <v>45314</v>
      </c>
      <c r="B1249" s="159">
        <v>428</v>
      </c>
      <c r="C1249" s="160" t="str">
        <f>IF(ISNA(VLOOKUP(Tableau13[[#This Row],[Code]],'Code Véhicule'!$A$4:$C$185,2,0)),"",VLOOKUP(Tableau13[[#This Row],[Code]],'Code Véhicule'!$A$4:$C$185,2,0))</f>
        <v>Chariot elevateur</v>
      </c>
      <c r="D1249" s="161" t="str">
        <f>IF(ISNA(VLOOKUP(Tableau13[[#This Row],[Code]],'Code Véhicule'!$A$4:$C$185,3,0)),"",VLOOKUP(Tableau13[[#This Row],[Code]],'Code Véhicule'!$A$4:$C$185,3,0))</f>
        <v>Linde H30</v>
      </c>
      <c r="E1249" s="159" t="str">
        <f>IF(ISNA(VLOOKUP(Tableau13[[#This Row],[Code]],'Code Véhicule'!$A$4:$D$185,4,0))," ",VLOOKUP(Tableau13[[#This Row],[Code]],'Code Véhicule'!$A$4:$D$185,4,0))</f>
        <v>-</v>
      </c>
      <c r="F1249" s="159"/>
      <c r="G1249" s="162" t="s">
        <v>2396</v>
      </c>
      <c r="H1249" s="163" t="s">
        <v>2097</v>
      </c>
      <c r="I1249" s="164" t="s">
        <v>304</v>
      </c>
      <c r="J1249" s="165" t="s">
        <v>2412</v>
      </c>
      <c r="K1249" s="186" t="s">
        <v>2413</v>
      </c>
      <c r="L1249" s="187"/>
      <c r="M1249" s="187"/>
      <c r="N1249" s="188"/>
      <c r="O1249" s="168"/>
      <c r="P1249" s="168"/>
      <c r="Q1249" s="159" t="e">
        <f>MONTH([1]!Tableau13[[#This Row],[Date début]])</f>
        <v>#REF!</v>
      </c>
      <c r="R1249" s="161" t="e">
        <f>YEAR([1]!Tableau13[[#This Row],[Date début]])</f>
        <v>#REF!</v>
      </c>
    </row>
    <row r="1250" spans="1:20" ht="30">
      <c r="A1250" s="197">
        <v>45315</v>
      </c>
      <c r="B1250" s="198">
        <v>485</v>
      </c>
      <c r="C1250" s="160" t="str">
        <f>IF(ISNA(VLOOKUP(Tableau13[[#This Row],[Code]],'Code Véhicule'!$A$4:$C$185,2,0)),"",VLOOKUP(Tableau13[[#This Row],[Code]],'Code Véhicule'!$A$4:$C$185,2,0))</f>
        <v/>
      </c>
      <c r="D1250" s="161" t="str">
        <f>IF(ISNA(VLOOKUP(Tableau13[[#This Row],[Code]],'Code Véhicule'!$A$4:$C$185,3,0)),"",VLOOKUP(Tableau13[[#This Row],[Code]],'Code Véhicule'!$A$4:$C$185,3,0))</f>
        <v/>
      </c>
      <c r="E1250" s="198" t="str">
        <f>IF(ISNA(VLOOKUP(Tableau13[[#This Row],[Code]],'Code Véhicule'!$A$4:$D$185,4,0))," ",VLOOKUP(Tableau13[[#This Row],[Code]],'Code Véhicule'!$A$4:$D$185,4,0))</f>
        <v xml:space="preserve"> </v>
      </c>
      <c r="F1250" s="198"/>
      <c r="G1250" s="200" t="s">
        <v>2396</v>
      </c>
      <c r="H1250" s="201" t="s">
        <v>2392</v>
      </c>
      <c r="I1250" s="202" t="s">
        <v>780</v>
      </c>
      <c r="J1250" s="203" t="s">
        <v>2442</v>
      </c>
      <c r="K1250" s="198">
        <v>4567</v>
      </c>
      <c r="L1250" s="204">
        <v>120</v>
      </c>
      <c r="M1250" s="204">
        <v>120</v>
      </c>
      <c r="N1250" s="205" t="s">
        <v>2443</v>
      </c>
      <c r="O1250" s="206"/>
      <c r="P1250" s="206"/>
      <c r="Q1250" s="198" t="e">
        <f>MONTH([1]!Tableau13[[#This Row],[Date début]])</f>
        <v>#REF!</v>
      </c>
      <c r="R1250" s="199" t="e">
        <f>YEAR([1]!Tableau13[[#This Row],[Date début]])</f>
        <v>#REF!</v>
      </c>
    </row>
    <row r="1251" spans="1:20" s="208" customFormat="1" ht="30">
      <c r="A1251" s="158">
        <v>45316</v>
      </c>
      <c r="B1251" s="159">
        <v>471</v>
      </c>
      <c r="C1251" s="160" t="str">
        <f>IF(ISNA(VLOOKUP(Tableau13[[#This Row],[Code]],'Code Véhicule'!$A$4:$C$185,2,0)),"",VLOOKUP(Tableau13[[#This Row],[Code]],'Code Véhicule'!$A$4:$C$185,2,0))</f>
        <v>Bus de transport</v>
      </c>
      <c r="D1251" s="161" t="str">
        <f>IF(ISNA(VLOOKUP(Tableau13[[#This Row],[Code]],'Code Véhicule'!$A$4:$C$185,3,0)),"",VLOOKUP(Tableau13[[#This Row],[Code]],'Code Véhicule'!$A$4:$C$185,3,0))</f>
        <v xml:space="preserve">Hyundai County </v>
      </c>
      <c r="E1251" s="159" t="str">
        <f>IF(ISNA(VLOOKUP(Tableau13[[#This Row],[Code]],'Code Véhicule'!$A$4:$D$185,4,0))," ",VLOOKUP(Tableau13[[#This Row],[Code]],'Code Véhicule'!$A$4:$D$185,4,0))</f>
        <v>18516-A-73</v>
      </c>
      <c r="F1251" s="159"/>
      <c r="G1251" s="162" t="s">
        <v>2396</v>
      </c>
      <c r="H1251" s="163" t="s">
        <v>397</v>
      </c>
      <c r="I1251" s="164" t="s">
        <v>780</v>
      </c>
      <c r="J1251" s="165" t="s">
        <v>2444</v>
      </c>
      <c r="K1251" s="159" t="s">
        <v>2445</v>
      </c>
      <c r="L1251" s="166">
        <v>1080</v>
      </c>
      <c r="M1251" s="166">
        <v>2160</v>
      </c>
      <c r="N1251" s="167">
        <v>45320</v>
      </c>
      <c r="O1251" s="168"/>
      <c r="P1251" s="168"/>
      <c r="Q1251" s="159" t="e">
        <f>MONTH([1]!Tableau13[[#This Row],[Date début]])</f>
        <v>#REF!</v>
      </c>
      <c r="R1251" s="161" t="e">
        <f>YEAR([1]!Tableau13[[#This Row],[Date début]])</f>
        <v>#REF!</v>
      </c>
      <c r="S1251" s="207"/>
      <c r="T1251" s="207"/>
    </row>
    <row r="1252" spans="1:20" ht="30">
      <c r="A1252" s="158">
        <v>45317</v>
      </c>
      <c r="B1252" s="159">
        <v>413</v>
      </c>
      <c r="C1252" s="160" t="str">
        <f>IF(ISNA(VLOOKUP(Tableau13[[#This Row],[Code]],'Code Véhicule'!$A$4:$C$185,2,0)),"",VLOOKUP(Tableau13[[#This Row],[Code]],'Code Véhicule'!$A$4:$C$185,2,0))</f>
        <v>Chargeur</v>
      </c>
      <c r="D1252" s="161" t="str">
        <f>IF(ISNA(VLOOKUP(Tableau13[[#This Row],[Code]],'Code Véhicule'!$A$4:$C$185,3,0)),"",VLOOKUP(Tableau13[[#This Row],[Code]],'Code Véhicule'!$A$4:$C$185,3,0))</f>
        <v>Caterpillar</v>
      </c>
      <c r="E1252" s="159" t="str">
        <f>IF(ISNA(VLOOKUP(Tableau13[[#This Row],[Code]],'Code Véhicule'!$A$4:$D$185,4,0))," ",VLOOKUP(Tableau13[[#This Row],[Code]],'Code Véhicule'!$A$4:$D$185,4,0))</f>
        <v>-</v>
      </c>
      <c r="F1252" s="159"/>
      <c r="G1252" s="162" t="s">
        <v>2396</v>
      </c>
      <c r="H1252" s="163" t="s">
        <v>2448</v>
      </c>
      <c r="I1252" s="164" t="s">
        <v>780</v>
      </c>
      <c r="J1252" s="165" t="s">
        <v>2449</v>
      </c>
      <c r="K1252" s="159">
        <v>4631</v>
      </c>
      <c r="L1252" s="166">
        <v>120</v>
      </c>
      <c r="M1252" s="166">
        <v>120</v>
      </c>
      <c r="N1252" s="167">
        <v>45317</v>
      </c>
      <c r="O1252" s="168"/>
      <c r="P1252" s="168"/>
      <c r="Q1252" s="159" t="e">
        <f>MONTH([1]!Tableau13[[#This Row],[Date début]])</f>
        <v>#REF!</v>
      </c>
      <c r="R1252" s="161" t="e">
        <f>YEAR([1]!Tableau13[[#This Row],[Date début]])</f>
        <v>#REF!</v>
      </c>
    </row>
    <row r="1253" spans="1:20" ht="30">
      <c r="A1253" s="158">
        <v>45317</v>
      </c>
      <c r="B1253" s="159">
        <v>481</v>
      </c>
      <c r="C1253" s="160" t="str">
        <f>IF(ISNA(VLOOKUP(Tableau13[[#This Row],[Code]],'Code Véhicule'!$A$4:$C$185,2,0)),"",VLOOKUP(Tableau13[[#This Row],[Code]],'Code Véhicule'!$A$4:$C$185,2,0))</f>
        <v>Camion</v>
      </c>
      <c r="D1253" s="161" t="str">
        <f>IF(ISNA(VLOOKUP(Tableau13[[#This Row],[Code]],'Code Véhicule'!$A$4:$C$185,3,0)),"",VLOOKUP(Tableau13[[#This Row],[Code]],'Code Véhicule'!$A$4:$C$185,3,0))</f>
        <v>VOLVO</v>
      </c>
      <c r="E1253" s="159" t="str">
        <f>IF(ISNA(VLOOKUP(Tableau13[[#This Row],[Code]],'Code Véhicule'!$A$4:$D$185,4,0))," ",VLOOKUP(Tableau13[[#This Row],[Code]],'Code Véhicule'!$A$4:$D$185,4,0))</f>
        <v>22300-A-73</v>
      </c>
      <c r="F1253" s="159"/>
      <c r="G1253" s="162" t="s">
        <v>2396</v>
      </c>
      <c r="H1253" s="163" t="s">
        <v>2392</v>
      </c>
      <c r="I1253" s="164" t="s">
        <v>780</v>
      </c>
      <c r="J1253" s="165" t="s">
        <v>2450</v>
      </c>
      <c r="K1253" s="159">
        <v>4632</v>
      </c>
      <c r="L1253" s="166">
        <v>120</v>
      </c>
      <c r="M1253" s="166">
        <v>120</v>
      </c>
      <c r="N1253" s="167">
        <v>45317</v>
      </c>
      <c r="O1253" s="168"/>
      <c r="P1253" s="168"/>
      <c r="Q1253" s="159" t="e">
        <f>MONTH([1]!Tableau13[[#This Row],[Date début]])</f>
        <v>#REF!</v>
      </c>
      <c r="R1253" s="161" t="e">
        <f>YEAR([1]!Tableau13[[#This Row],[Date début]])</f>
        <v>#REF!</v>
      </c>
    </row>
    <row r="1254" spans="1:20" ht="45">
      <c r="A1254" s="158">
        <v>45317</v>
      </c>
      <c r="B1254" s="159">
        <v>479</v>
      </c>
      <c r="C1254" s="160" t="str">
        <f>IF(ISNA(VLOOKUP(Tableau13[[#This Row],[Code]],'Code Véhicule'!$A$4:$C$185,2,0)),"",VLOOKUP(Tableau13[[#This Row],[Code]],'Code Véhicule'!$A$4:$C$185,2,0))</f>
        <v>Bus de transport</v>
      </c>
      <c r="D1254" s="161" t="str">
        <f>IF(ISNA(VLOOKUP(Tableau13[[#This Row],[Code]],'Code Véhicule'!$A$4:$C$185,3,0)),"",VLOOKUP(Tableau13[[#This Row],[Code]],'Code Véhicule'!$A$4:$C$185,3,0))</f>
        <v>Hyundai County</v>
      </c>
      <c r="E1254" s="159" t="str">
        <f>IF(ISNA(VLOOKUP(Tableau13[[#This Row],[Code]],'Code Véhicule'!$A$4:$D$185,4,0))," ",VLOOKUP(Tableau13[[#This Row],[Code]],'Code Véhicule'!$A$4:$D$185,4,0))</f>
        <v>22772-A-73</v>
      </c>
      <c r="F1254" s="159"/>
      <c r="G1254" s="162" t="s">
        <v>2396</v>
      </c>
      <c r="H1254" s="38" t="s">
        <v>2392</v>
      </c>
      <c r="I1254" s="164" t="s">
        <v>780</v>
      </c>
      <c r="J1254" s="189" t="s">
        <v>2451</v>
      </c>
      <c r="K1254" s="159">
        <v>4633</v>
      </c>
      <c r="L1254" s="166">
        <v>120</v>
      </c>
      <c r="M1254" s="166">
        <v>120</v>
      </c>
      <c r="N1254" s="167">
        <v>45317</v>
      </c>
      <c r="O1254" s="168"/>
      <c r="P1254" s="168"/>
      <c r="Q1254" s="159" t="e">
        <f>MONTH([1]!Tableau13[[#This Row],[Date début]])</f>
        <v>#REF!</v>
      </c>
      <c r="R1254" s="161" t="e">
        <f>YEAR([1]!Tableau13[[#This Row],[Date début]])</f>
        <v>#REF!</v>
      </c>
    </row>
    <row r="1255" spans="1:20" ht="30">
      <c r="A1255" s="158">
        <v>45318</v>
      </c>
      <c r="B1255" s="159">
        <v>480</v>
      </c>
      <c r="C1255" s="160" t="str">
        <f>IF(ISNA(VLOOKUP(Tableau13[[#This Row],[Code]],'Code Véhicule'!$A$4:$C$185,2,0)),"",VLOOKUP(Tableau13[[#This Row],[Code]],'Code Véhicule'!$A$4:$C$185,2,0))</f>
        <v>Camion</v>
      </c>
      <c r="D1255" s="161" t="str">
        <f>IF(ISNA(VLOOKUP(Tableau13[[#This Row],[Code]],'Code Véhicule'!$A$4:$C$185,3,0)),"",VLOOKUP(Tableau13[[#This Row],[Code]],'Code Véhicule'!$A$4:$C$185,3,0))</f>
        <v>VOLVO</v>
      </c>
      <c r="E1255" s="159" t="str">
        <f>IF(ISNA(VLOOKUP(Tableau13[[#This Row],[Code]],'Code Véhicule'!$A$4:$D$185,4,0))," ",VLOOKUP(Tableau13[[#This Row],[Code]],'Code Véhicule'!$A$4:$D$185,4,0))</f>
        <v>22299-A-73</v>
      </c>
      <c r="F1255" s="159"/>
      <c r="G1255" s="162" t="s">
        <v>525</v>
      </c>
      <c r="H1255" s="163" t="s">
        <v>560</v>
      </c>
      <c r="I1255" s="164" t="s">
        <v>304</v>
      </c>
      <c r="J1255" s="165" t="s">
        <v>2411</v>
      </c>
      <c r="K1255" s="159">
        <v>1984</v>
      </c>
      <c r="L1255" s="166">
        <v>120</v>
      </c>
      <c r="M1255" s="166">
        <v>120</v>
      </c>
      <c r="N1255" s="167">
        <v>45318</v>
      </c>
      <c r="O1255" s="168"/>
      <c r="P1255" s="168"/>
      <c r="Q1255" s="159" t="e">
        <f>MONTH([1]!Tableau13[[#This Row],[Date début]])</f>
        <v>#REF!</v>
      </c>
      <c r="R1255" s="161" t="e">
        <f>YEAR([1]!Tableau13[[#This Row],[Date début]])</f>
        <v>#REF!</v>
      </c>
    </row>
    <row r="1256" spans="1:20" ht="30">
      <c r="A1256" s="158">
        <v>45318</v>
      </c>
      <c r="B1256" s="159">
        <v>417</v>
      </c>
      <c r="C1256" s="160" t="str">
        <f>IF(ISNA(VLOOKUP(Tableau13[[#This Row],[Code]],'Code Véhicule'!$A$4:$C$185,2,0)),"",VLOOKUP(Tableau13[[#This Row],[Code]],'Code Véhicule'!$A$4:$C$185,2,0))</f>
        <v>Voiture de fonction</v>
      </c>
      <c r="D1256" s="161" t="str">
        <f>IF(ISNA(VLOOKUP(Tableau13[[#This Row],[Code]],'Code Véhicule'!$A$4:$C$185,3,0)),"",VLOOKUP(Tableau13[[#This Row],[Code]],'Code Véhicule'!$A$4:$C$185,3,0))</f>
        <v>Berlingo</v>
      </c>
      <c r="E1256" s="159" t="str">
        <f>IF(ISNA(VLOOKUP(Tableau13[[#This Row],[Code]],'Code Véhicule'!$A$4:$D$185,4,0))," ",VLOOKUP(Tableau13[[#This Row],[Code]],'Code Véhicule'!$A$4:$D$185,4,0))</f>
        <v>981-A-73</v>
      </c>
      <c r="F1256" s="159"/>
      <c r="G1256" s="162" t="s">
        <v>2414</v>
      </c>
      <c r="H1256" s="163" t="s">
        <v>2415</v>
      </c>
      <c r="I1256" s="164" t="s">
        <v>304</v>
      </c>
      <c r="J1256" s="165" t="s">
        <v>2416</v>
      </c>
      <c r="K1256" s="159">
        <v>1983</v>
      </c>
      <c r="L1256" s="166">
        <v>180</v>
      </c>
      <c r="M1256" s="166">
        <v>1620</v>
      </c>
      <c r="N1256" s="167">
        <v>45318</v>
      </c>
      <c r="O1256" s="168"/>
      <c r="P1256" s="168"/>
      <c r="Q1256" s="159" t="e">
        <f>MONTH([1]!Tableau13[[#This Row],[Date début]])</f>
        <v>#REF!</v>
      </c>
      <c r="R1256" s="161" t="e">
        <f>YEAR([1]!Tableau13[[#This Row],[Date début]])</f>
        <v>#REF!</v>
      </c>
    </row>
    <row r="1257" spans="1:20" ht="45">
      <c r="A1257" s="158">
        <v>45321</v>
      </c>
      <c r="B1257" s="159">
        <v>484</v>
      </c>
      <c r="C1257" s="160" t="str">
        <f>IF(ISNA(VLOOKUP(Tableau13[[#This Row],[Code]],'Code Véhicule'!$A$4:$C$185,2,0)),"",VLOOKUP(Tableau13[[#This Row],[Code]],'Code Véhicule'!$A$4:$C$185,2,0))</f>
        <v>Chariot elevateur</v>
      </c>
      <c r="D1257" s="161" t="str">
        <f>IF(ISNA(VLOOKUP(Tableau13[[#This Row],[Code]],'Code Véhicule'!$A$4:$C$185,3,0)),"",VLOOKUP(Tableau13[[#This Row],[Code]],'Code Véhicule'!$A$4:$C$185,3,0))</f>
        <v>MI50D</v>
      </c>
      <c r="E1257" s="159">
        <f>IF(ISNA(VLOOKUP(Tableau13[[#This Row],[Code]],'Code Véhicule'!$A$4:$D$185,4,0))," ",VLOOKUP(Tableau13[[#This Row],[Code]],'Code Véhicule'!$A$4:$D$185,4,0))</f>
        <v>0</v>
      </c>
      <c r="F1257" s="159"/>
      <c r="G1257" s="162" t="s">
        <v>2396</v>
      </c>
      <c r="H1257" s="38" t="s">
        <v>2392</v>
      </c>
      <c r="I1257" s="164" t="s">
        <v>780</v>
      </c>
      <c r="J1257" s="189" t="s">
        <v>2452</v>
      </c>
      <c r="K1257" s="159">
        <v>4587</v>
      </c>
      <c r="L1257" s="166">
        <v>120</v>
      </c>
      <c r="M1257" s="166">
        <v>120</v>
      </c>
      <c r="N1257" s="167">
        <v>45321</v>
      </c>
      <c r="O1257" s="168"/>
      <c r="P1257" s="168"/>
      <c r="Q1257" s="159" t="e">
        <f>MONTH([1]!Tableau13[[#This Row],[Date début]])</f>
        <v>#REF!</v>
      </c>
      <c r="R1257" s="161" t="e">
        <f>YEAR([1]!Tableau13[[#This Row],[Date début]])</f>
        <v>#REF!</v>
      </c>
    </row>
    <row r="1258" spans="1:20" ht="30">
      <c r="A1258" s="158">
        <v>45321</v>
      </c>
      <c r="B1258" s="159">
        <v>410</v>
      </c>
      <c r="C1258" s="160" t="str">
        <f>IF(ISNA(VLOOKUP(Tableau13[[#This Row],[Code]],'Code Véhicule'!$A$4:$C$185,2,0)),"",VLOOKUP(Tableau13[[#This Row],[Code]],'Code Véhicule'!$A$4:$C$185,2,0))</f>
        <v>Semi remorque</v>
      </c>
      <c r="D1258" s="161" t="str">
        <f>IF(ISNA(VLOOKUP(Tableau13[[#This Row],[Code]],'Code Véhicule'!$A$4:$C$185,3,0)),"",VLOOKUP(Tableau13[[#This Row],[Code]],'Code Véhicule'!$A$4:$C$185,3,0))</f>
        <v>MAN</v>
      </c>
      <c r="E1258" s="159" t="str">
        <f>IF(ISNA(VLOOKUP(Tableau13[[#This Row],[Code]],'Code Véhicule'!$A$4:$D$185,4,0))," ",VLOOKUP(Tableau13[[#This Row],[Code]],'Code Véhicule'!$A$4:$D$185,4,0))</f>
        <v xml:space="preserve">28659-D-1 </v>
      </c>
      <c r="F1258" s="159"/>
      <c r="G1258" s="190" t="s">
        <v>2364</v>
      </c>
      <c r="H1258" s="38" t="s">
        <v>2453</v>
      </c>
      <c r="I1258" s="164" t="s">
        <v>780</v>
      </c>
      <c r="J1258" s="189" t="s">
        <v>2454</v>
      </c>
      <c r="K1258" s="159">
        <v>4730</v>
      </c>
      <c r="L1258" s="166">
        <v>120</v>
      </c>
      <c r="M1258" s="166">
        <v>120</v>
      </c>
      <c r="N1258" s="167">
        <v>45321</v>
      </c>
      <c r="O1258" s="168"/>
      <c r="P1258" s="168"/>
      <c r="Q1258" s="159" t="e">
        <f>MONTH([1]!Tableau13[[#This Row],[Date début]])</f>
        <v>#REF!</v>
      </c>
      <c r="R1258" s="161" t="e">
        <f>YEAR([1]!Tableau13[[#This Row],[Date début]])</f>
        <v>#REF!</v>
      </c>
    </row>
    <row r="1259" spans="1:20" ht="30">
      <c r="A1259" s="158">
        <v>45322</v>
      </c>
      <c r="B1259" s="159">
        <v>435</v>
      </c>
      <c r="C1259" s="160" t="str">
        <f>IF(ISNA(VLOOKUP(Tableau13[[#This Row],[Code]],'Code Véhicule'!$A$4:$C$185,2,0)),"",VLOOKUP(Tableau13[[#This Row],[Code]],'Code Véhicule'!$A$4:$C$185,2,0))</f>
        <v>Camion</v>
      </c>
      <c r="D1259" s="161" t="str">
        <f>IF(ISNA(VLOOKUP(Tableau13[[#This Row],[Code]],'Code Véhicule'!$A$4:$C$185,3,0)),"",VLOOKUP(Tableau13[[#This Row],[Code]],'Code Véhicule'!$A$4:$C$185,3,0))</f>
        <v>Mitsubishi</v>
      </c>
      <c r="E1259" s="159" t="str">
        <f>IF(ISNA(VLOOKUP(Tableau13[[#This Row],[Code]],'Code Véhicule'!$A$4:$D$185,4,0))," ",VLOOKUP(Tableau13[[#This Row],[Code]],'Code Véhicule'!$A$4:$D$185,4,0))</f>
        <v xml:space="preserve"> 11469-A-73</v>
      </c>
      <c r="F1259" s="159"/>
      <c r="G1259" s="190" t="s">
        <v>2414</v>
      </c>
      <c r="H1259" s="38" t="s">
        <v>2415</v>
      </c>
      <c r="I1259" s="164" t="s">
        <v>780</v>
      </c>
      <c r="J1259" s="189" t="s">
        <v>2455</v>
      </c>
      <c r="K1259" s="159">
        <v>4769</v>
      </c>
      <c r="L1259" s="166">
        <v>60</v>
      </c>
      <c r="M1259" s="166">
        <v>60</v>
      </c>
      <c r="N1259" s="167">
        <v>45322</v>
      </c>
      <c r="O1259" s="168"/>
      <c r="P1259" s="168"/>
      <c r="Q1259" s="159" t="e">
        <f>MONTH([1]!Tableau13[[#This Row],[Date début]])</f>
        <v>#REF!</v>
      </c>
      <c r="R1259" s="161" t="e">
        <f>YEAR([1]!Tableau13[[#This Row],[Date début]])</f>
        <v>#REF!</v>
      </c>
    </row>
    <row r="1260" spans="1:20">
      <c r="A1260" s="158">
        <v>45322</v>
      </c>
      <c r="B1260" s="159">
        <v>403</v>
      </c>
      <c r="C1260" s="160" t="str">
        <f>IF(ISNA(VLOOKUP(Tableau13[[#This Row],[Code]],'Code Véhicule'!$A$4:$C$185,2,0)),"",VLOOKUP(Tableau13[[#This Row],[Code]],'Code Véhicule'!$A$4:$C$185,2,0))</f>
        <v>Camion</v>
      </c>
      <c r="D1260" s="161" t="str">
        <f>IF(ISNA(VLOOKUP(Tableau13[[#This Row],[Code]],'Code Véhicule'!$A$4:$C$185,3,0)),"",VLOOKUP(Tableau13[[#This Row],[Code]],'Code Véhicule'!$A$4:$C$185,3,0))</f>
        <v>MAN</v>
      </c>
      <c r="E1260" s="159" t="str">
        <f>IF(ISNA(VLOOKUP(Tableau13[[#This Row],[Code]],'Code Véhicule'!$A$4:$D$185,4,0))," ",VLOOKUP(Tableau13[[#This Row],[Code]],'Code Véhicule'!$A$4:$D$185,4,0))</f>
        <v>4790-B-8</v>
      </c>
      <c r="F1260" s="159"/>
      <c r="G1260" s="162" t="s">
        <v>2396</v>
      </c>
      <c r="H1260" s="38" t="s">
        <v>2456</v>
      </c>
      <c r="I1260" s="164" t="s">
        <v>780</v>
      </c>
      <c r="J1260" s="189" t="s">
        <v>2457</v>
      </c>
      <c r="K1260" s="159">
        <v>4770</v>
      </c>
      <c r="L1260" s="51">
        <v>360</v>
      </c>
      <c r="M1260" s="166">
        <v>360</v>
      </c>
      <c r="N1260" s="167">
        <v>45322</v>
      </c>
      <c r="O1260" s="168"/>
      <c r="P1260" s="168"/>
      <c r="Q1260" s="159" t="e">
        <f>MONTH([1]!Tableau13[[#This Row],[Date début]])</f>
        <v>#REF!</v>
      </c>
      <c r="R1260" s="161" t="e">
        <f>YEAR([1]!Tableau13[[#This Row],[Date début]])</f>
        <v>#REF!</v>
      </c>
    </row>
    <row r="1261" spans="1:20">
      <c r="A1261" s="158">
        <v>45322</v>
      </c>
      <c r="B1261" s="159">
        <v>420</v>
      </c>
      <c r="C1261" s="160" t="str">
        <f>IF(ISNA(VLOOKUP(Tableau13[[#This Row],[Code]],'Code Véhicule'!$A$4:$C$185,2,0)),"",VLOOKUP(Tableau13[[#This Row],[Code]],'Code Véhicule'!$A$4:$C$185,2,0))</f>
        <v>Chariot elevateur</v>
      </c>
      <c r="D1261" s="161" t="str">
        <f>IF(ISNA(VLOOKUP(Tableau13[[#This Row],[Code]],'Code Véhicule'!$A$4:$C$185,3,0)),"",VLOOKUP(Tableau13[[#This Row],[Code]],'Code Véhicule'!$A$4:$C$185,3,0))</f>
        <v>linde h 45</v>
      </c>
      <c r="E1261" s="159">
        <f>IF(ISNA(VLOOKUP(Tableau13[[#This Row],[Code]],'Code Véhicule'!$A$4:$D$185,4,0))," ",VLOOKUP(Tableau13[[#This Row],[Code]],'Code Véhicule'!$A$4:$D$185,4,0))</f>
        <v>0</v>
      </c>
      <c r="F1261" s="159"/>
      <c r="G1261" s="162" t="s">
        <v>2396</v>
      </c>
      <c r="H1261" s="38" t="s">
        <v>537</v>
      </c>
      <c r="I1261" s="164" t="s">
        <v>780</v>
      </c>
      <c r="J1261" s="189" t="s">
        <v>2458</v>
      </c>
      <c r="K1261" s="159">
        <v>4771</v>
      </c>
      <c r="L1261" s="51">
        <v>360</v>
      </c>
      <c r="M1261" s="166">
        <v>180</v>
      </c>
      <c r="N1261" s="167">
        <v>45322</v>
      </c>
      <c r="O1261" s="168"/>
      <c r="P1261" s="168"/>
      <c r="Q1261" s="159" t="e">
        <f>MONTH([1]!Tableau13[[#This Row],[Date début]])</f>
        <v>#REF!</v>
      </c>
      <c r="R1261" s="161" t="e">
        <f>YEAR([1]!Tableau13[[#This Row],[Date début]])</f>
        <v>#REF!</v>
      </c>
    </row>
    <row r="1262" spans="1:20">
      <c r="A1262" s="158">
        <v>45323</v>
      </c>
      <c r="B1262" s="159">
        <v>428</v>
      </c>
      <c r="C1262" s="160" t="str">
        <f>IF(ISNA(VLOOKUP(Tableau13[[#This Row],[Code]],'Code Véhicule'!$A$4:$C$185,2,0)),"",VLOOKUP(Tableau13[[#This Row],[Code]],'Code Véhicule'!$A$4:$C$185,2,0))</f>
        <v>Chariot elevateur</v>
      </c>
      <c r="D1262" s="161" t="str">
        <f>IF(ISNA(VLOOKUP(Tableau13[[#This Row],[Code]],'Code Véhicule'!$A$4:$C$185,3,0)),"",VLOOKUP(Tableau13[[#This Row],[Code]],'Code Véhicule'!$A$4:$C$185,3,0))</f>
        <v>Linde H30</v>
      </c>
      <c r="E1262" s="159" t="str">
        <f>IF(ISNA(VLOOKUP(Tableau13[[#This Row],[Code]],'Code Véhicule'!$A$4:$D$185,4,0))," ",VLOOKUP(Tableau13[[#This Row],[Code]],'Code Véhicule'!$A$4:$D$185,4,0))</f>
        <v>-</v>
      </c>
      <c r="F1262" s="159"/>
      <c r="G1262" s="162" t="s">
        <v>2396</v>
      </c>
      <c r="H1262" s="163" t="s">
        <v>2404</v>
      </c>
      <c r="I1262" s="164" t="s">
        <v>780</v>
      </c>
      <c r="J1262" s="189" t="s">
        <v>2459</v>
      </c>
      <c r="K1262" s="159">
        <v>4801</v>
      </c>
      <c r="L1262" s="166">
        <v>60</v>
      </c>
      <c r="M1262" s="166">
        <v>60</v>
      </c>
      <c r="N1262" s="167">
        <v>45323</v>
      </c>
      <c r="O1262" s="168"/>
      <c r="P1262" s="168"/>
      <c r="Q1262" s="159" t="e">
        <f>MONTH([1]!Tableau13[[#This Row],[Date début]])</f>
        <v>#REF!</v>
      </c>
      <c r="R1262" s="161" t="e">
        <f>YEAR([1]!Tableau13[[#This Row],[Date début]])</f>
        <v>#REF!</v>
      </c>
    </row>
    <row r="1263" spans="1:20" ht="30">
      <c r="A1263" s="158">
        <v>45323</v>
      </c>
      <c r="B1263" s="159">
        <v>403</v>
      </c>
      <c r="C1263" s="160" t="str">
        <f>IF(ISNA(VLOOKUP(Tableau13[[#This Row],[Code]],'Code Véhicule'!$A$4:$C$185,2,0)),"",VLOOKUP(Tableau13[[#This Row],[Code]],'Code Véhicule'!$A$4:$C$185,2,0))</f>
        <v>Camion</v>
      </c>
      <c r="D1263" s="161" t="str">
        <f>IF(ISNA(VLOOKUP(Tableau13[[#This Row],[Code]],'Code Véhicule'!$A$4:$C$185,3,0)),"",VLOOKUP(Tableau13[[#This Row],[Code]],'Code Véhicule'!$A$4:$C$185,3,0))</f>
        <v>MAN</v>
      </c>
      <c r="E1263" s="159" t="str">
        <f>IF(ISNA(VLOOKUP(Tableau13[[#This Row],[Code]],'Code Véhicule'!$A$4:$D$185,4,0))," ",VLOOKUP(Tableau13[[#This Row],[Code]],'Code Véhicule'!$A$4:$D$185,4,0))</f>
        <v>4790-B-8</v>
      </c>
      <c r="F1263" s="159"/>
      <c r="G1263" s="162" t="s">
        <v>2396</v>
      </c>
      <c r="H1263" s="38" t="s">
        <v>1087</v>
      </c>
      <c r="I1263" s="164" t="s">
        <v>780</v>
      </c>
      <c r="J1263" s="189" t="s">
        <v>2460</v>
      </c>
      <c r="K1263" s="191">
        <v>4803</v>
      </c>
      <c r="L1263" s="166">
        <v>240</v>
      </c>
      <c r="M1263" s="166">
        <v>240</v>
      </c>
      <c r="N1263" s="167">
        <v>45323</v>
      </c>
      <c r="O1263" s="168"/>
      <c r="P1263" s="168"/>
      <c r="Q1263" s="159" t="e">
        <f>MONTH([1]!Tableau13[[#This Row],[Date début]])</f>
        <v>#REF!</v>
      </c>
      <c r="R1263" s="161" t="e">
        <f>YEAR([1]!Tableau13[[#This Row],[Date début]])</f>
        <v>#REF!</v>
      </c>
    </row>
    <row r="1264" spans="1:20" ht="45">
      <c r="A1264" s="158">
        <v>45323</v>
      </c>
      <c r="B1264" s="159">
        <v>408</v>
      </c>
      <c r="C1264" s="160" t="str">
        <f>IF(ISNA(VLOOKUP(Tableau13[[#This Row],[Code]],'Code Véhicule'!$A$4:$C$185,2,0)),"",VLOOKUP(Tableau13[[#This Row],[Code]],'Code Véhicule'!$A$4:$C$185,2,0))</f>
        <v>Camion</v>
      </c>
      <c r="D1264" s="161" t="str">
        <f>IF(ISNA(VLOOKUP(Tableau13[[#This Row],[Code]],'Code Véhicule'!$A$4:$C$185,3,0)),"",VLOOKUP(Tableau13[[#This Row],[Code]],'Code Véhicule'!$A$4:$C$185,3,0))</f>
        <v>Mitsubishi</v>
      </c>
      <c r="E1264" s="159" t="str">
        <f>IF(ISNA(VLOOKUP(Tableau13[[#This Row],[Code]],'Code Véhicule'!$A$4:$D$185,4,0))," ",VLOOKUP(Tableau13[[#This Row],[Code]],'Code Véhicule'!$A$4:$D$185,4,0))</f>
        <v>4703-A-73</v>
      </c>
      <c r="F1264" s="159"/>
      <c r="G1264" s="162" t="s">
        <v>2396</v>
      </c>
      <c r="H1264" s="38" t="s">
        <v>610</v>
      </c>
      <c r="I1264" s="164" t="s">
        <v>780</v>
      </c>
      <c r="J1264" s="189" t="s">
        <v>2461</v>
      </c>
      <c r="K1264" s="159">
        <v>4804</v>
      </c>
      <c r="L1264" s="166">
        <v>2700</v>
      </c>
      <c r="M1264" s="166">
        <v>4320</v>
      </c>
      <c r="N1264" s="167">
        <v>45331</v>
      </c>
      <c r="O1264" s="168"/>
      <c r="P1264" s="168"/>
      <c r="Q1264" s="159" t="e">
        <f>MONTH([1]!Tableau13[[#This Row],[Date début]])</f>
        <v>#REF!</v>
      </c>
      <c r="R1264" s="161" t="e">
        <f>YEAR([1]!Tableau13[[#This Row],[Date début]])</f>
        <v>#REF!</v>
      </c>
    </row>
    <row r="1265" spans="1:18" ht="45">
      <c r="A1265" s="192">
        <v>45324</v>
      </c>
      <c r="B1265" s="159">
        <v>409</v>
      </c>
      <c r="C1265" s="160" t="str">
        <f>IF(ISNA(VLOOKUP(Tableau13[[#This Row],[Code]],'Code Véhicule'!$A$4:$C$185,2,0)),"",VLOOKUP(Tableau13[[#This Row],[Code]],'Code Véhicule'!$A$4:$C$185,2,0))</f>
        <v>Camion</v>
      </c>
      <c r="D1265" s="161" t="str">
        <f>IF(ISNA(VLOOKUP(Tableau13[[#This Row],[Code]],'Code Véhicule'!$A$4:$C$185,3,0)),"",VLOOKUP(Tableau13[[#This Row],[Code]],'Code Véhicule'!$A$4:$C$185,3,0))</f>
        <v>Mitsubishi</v>
      </c>
      <c r="E1265" s="159" t="str">
        <f>IF(ISNA(VLOOKUP(Tableau13[[#This Row],[Code]],'Code Véhicule'!$A$4:$D$185,4,0))," ",VLOOKUP(Tableau13[[#This Row],[Code]],'Code Véhicule'!$A$4:$D$185,4,0))</f>
        <v xml:space="preserve">4969-A-73 </v>
      </c>
      <c r="F1265" s="159"/>
      <c r="G1265" s="162" t="s">
        <v>2396</v>
      </c>
      <c r="H1265" s="38" t="s">
        <v>2392</v>
      </c>
      <c r="I1265" s="164" t="s">
        <v>780</v>
      </c>
      <c r="J1265" s="189" t="s">
        <v>2462</v>
      </c>
      <c r="K1265" s="159">
        <v>4835</v>
      </c>
      <c r="L1265" s="166">
        <v>120</v>
      </c>
      <c r="M1265" s="166">
        <v>120</v>
      </c>
      <c r="N1265" s="167">
        <v>45324</v>
      </c>
      <c r="O1265" s="168"/>
      <c r="P1265" s="168"/>
      <c r="Q1265" s="159" t="e">
        <f>MONTH([1]!Tableau13[[#This Row],[Date début]])</f>
        <v>#REF!</v>
      </c>
      <c r="R1265" s="161" t="e">
        <f>YEAR([1]!Tableau13[[#This Row],[Date début]])</f>
        <v>#REF!</v>
      </c>
    </row>
    <row r="1266" spans="1:18" ht="30">
      <c r="A1266" s="158">
        <v>45325</v>
      </c>
      <c r="B1266" s="159">
        <v>403</v>
      </c>
      <c r="C1266" s="160" t="str">
        <f>IF(ISNA(VLOOKUP(Tableau13[[#This Row],[Code]],'Code Véhicule'!$A$4:$C$185,2,0)),"",VLOOKUP(Tableau13[[#This Row],[Code]],'Code Véhicule'!$A$4:$C$185,2,0))</f>
        <v>Camion</v>
      </c>
      <c r="D1266" s="161" t="str">
        <f>IF(ISNA(VLOOKUP(Tableau13[[#This Row],[Code]],'Code Véhicule'!$A$4:$C$185,3,0)),"",VLOOKUP(Tableau13[[#This Row],[Code]],'Code Véhicule'!$A$4:$C$185,3,0))</f>
        <v>MAN</v>
      </c>
      <c r="E1266" s="159" t="str">
        <f>IF(ISNA(VLOOKUP(Tableau13[[#This Row],[Code]],'Code Véhicule'!$A$4:$D$185,4,0))," ",VLOOKUP(Tableau13[[#This Row],[Code]],'Code Véhicule'!$A$4:$D$185,4,0))</f>
        <v>4790-B-8</v>
      </c>
      <c r="F1266" s="159"/>
      <c r="G1266" s="162" t="s">
        <v>2396</v>
      </c>
      <c r="H1266" s="38" t="s">
        <v>394</v>
      </c>
      <c r="I1266" s="164" t="s">
        <v>780</v>
      </c>
      <c r="J1266" s="189" t="s">
        <v>2463</v>
      </c>
      <c r="K1266" s="159">
        <v>4874</v>
      </c>
      <c r="L1266" s="166">
        <v>540</v>
      </c>
      <c r="M1266" s="166">
        <v>540</v>
      </c>
      <c r="N1266" s="167">
        <v>45326</v>
      </c>
      <c r="O1266" s="168"/>
      <c r="P1266" s="168"/>
      <c r="Q1266" s="159" t="e">
        <f>MONTH([1]!Tableau13[[#This Row],[Date début]])</f>
        <v>#REF!</v>
      </c>
      <c r="R1266" s="161" t="e">
        <f>YEAR([1]!Tableau13[[#This Row],[Date début]])</f>
        <v>#REF!</v>
      </c>
    </row>
    <row r="1267" spans="1:18" ht="45">
      <c r="A1267" s="158">
        <v>45325</v>
      </c>
      <c r="B1267" s="159">
        <v>406</v>
      </c>
      <c r="C1267" s="160" t="str">
        <f>IF(ISNA(VLOOKUP(Tableau13[[#This Row],[Code]],'Code Véhicule'!$A$4:$C$185,2,0)),"",VLOOKUP(Tableau13[[#This Row],[Code]],'Code Véhicule'!$A$4:$C$185,2,0))</f>
        <v>Semi remorque</v>
      </c>
      <c r="D1267" s="161" t="str">
        <f>IF(ISNA(VLOOKUP(Tableau13[[#This Row],[Code]],'Code Véhicule'!$A$4:$C$185,3,0)),"",VLOOKUP(Tableau13[[#This Row],[Code]],'Code Véhicule'!$A$4:$C$185,3,0))</f>
        <v>VOLVO</v>
      </c>
      <c r="E1267" s="159" t="str">
        <f>IF(ISNA(VLOOKUP(Tableau13[[#This Row],[Code]],'Code Véhicule'!$A$4:$D$185,4,0))," ",VLOOKUP(Tableau13[[#This Row],[Code]],'Code Véhicule'!$A$4:$D$185,4,0))</f>
        <v>70352-A-6</v>
      </c>
      <c r="F1267" s="159"/>
      <c r="G1267" s="162" t="s">
        <v>2396</v>
      </c>
      <c r="H1267" s="38" t="s">
        <v>2404</v>
      </c>
      <c r="I1267" s="164" t="s">
        <v>780</v>
      </c>
      <c r="J1267" s="189" t="s">
        <v>2464</v>
      </c>
      <c r="K1267" s="159">
        <v>4875</v>
      </c>
      <c r="L1267" s="166">
        <v>120</v>
      </c>
      <c r="M1267" s="166">
        <v>120</v>
      </c>
      <c r="N1267" s="167">
        <v>45325</v>
      </c>
      <c r="O1267" s="168"/>
      <c r="P1267" s="168"/>
      <c r="Q1267" s="159" t="e">
        <f>MONTH([1]!Tableau13[[#This Row],[Date début]])</f>
        <v>#REF!</v>
      </c>
      <c r="R1267" s="161" t="e">
        <f>YEAR([1]!Tableau13[[#This Row],[Date début]])</f>
        <v>#REF!</v>
      </c>
    </row>
    <row r="1268" spans="1:18" ht="45">
      <c r="A1268" s="158">
        <v>45325</v>
      </c>
      <c r="B1268" s="159">
        <v>403</v>
      </c>
      <c r="C1268" s="160" t="str">
        <f>IF(ISNA(VLOOKUP(Tableau13[[#This Row],[Code]],'Code Véhicule'!$A$4:$C$185,2,0)),"",VLOOKUP(Tableau13[[#This Row],[Code]],'Code Véhicule'!$A$4:$C$185,2,0))</f>
        <v>Camion</v>
      </c>
      <c r="D1268" s="161" t="str">
        <f>IF(ISNA(VLOOKUP(Tableau13[[#This Row],[Code]],'Code Véhicule'!$A$4:$C$185,3,0)),"",VLOOKUP(Tableau13[[#This Row],[Code]],'Code Véhicule'!$A$4:$C$185,3,0))</f>
        <v>MAN</v>
      </c>
      <c r="E1268" s="159" t="str">
        <f>IF(ISNA(VLOOKUP(Tableau13[[#This Row],[Code]],'Code Véhicule'!$A$4:$D$185,4,0))," ",VLOOKUP(Tableau13[[#This Row],[Code]],'Code Véhicule'!$A$4:$D$185,4,0))</f>
        <v>4790-B-8</v>
      </c>
      <c r="F1268" s="159"/>
      <c r="G1268" s="162" t="s">
        <v>2396</v>
      </c>
      <c r="H1268" s="163" t="s">
        <v>610</v>
      </c>
      <c r="I1268" s="164" t="s">
        <v>304</v>
      </c>
      <c r="J1268" s="165" t="s">
        <v>2488</v>
      </c>
      <c r="K1268" s="159">
        <v>5380</v>
      </c>
      <c r="L1268" s="166">
        <v>3240</v>
      </c>
      <c r="M1268" s="166">
        <v>9720</v>
      </c>
      <c r="N1268" s="167">
        <v>45344</v>
      </c>
      <c r="O1268" s="168"/>
      <c r="P1268" s="168"/>
      <c r="Q1268" s="159" t="e">
        <f>MONTH([1]!Tableau13[[#This Row],[Date début]])</f>
        <v>#REF!</v>
      </c>
      <c r="R1268" s="161" t="e">
        <f>YEAR([1]!Tableau13[[#This Row],[Date début]])</f>
        <v>#REF!</v>
      </c>
    </row>
    <row r="1269" spans="1:18" ht="30">
      <c r="A1269" s="158">
        <v>45327</v>
      </c>
      <c r="B1269" s="159">
        <v>436</v>
      </c>
      <c r="C1269" s="160" t="str">
        <f>IF(ISNA(VLOOKUP(Tableau13[[#This Row],[Code]],'Code Véhicule'!$A$4:$C$185,2,0)),"",VLOOKUP(Tableau13[[#This Row],[Code]],'Code Véhicule'!$A$4:$C$185,2,0))</f>
        <v>Camion</v>
      </c>
      <c r="D1269" s="161" t="str">
        <f>IF(ISNA(VLOOKUP(Tableau13[[#This Row],[Code]],'Code Véhicule'!$A$4:$C$185,3,0)),"",VLOOKUP(Tableau13[[#This Row],[Code]],'Code Véhicule'!$A$4:$C$185,3,0))</f>
        <v>Mitsubishi</v>
      </c>
      <c r="E1269" s="159" t="str">
        <f>IF(ISNA(VLOOKUP(Tableau13[[#This Row],[Code]],'Code Véhicule'!$A$4:$D$185,4,0))," ",VLOOKUP(Tableau13[[#This Row],[Code]],'Code Véhicule'!$A$4:$D$185,4,0))</f>
        <v>11470-A-73</v>
      </c>
      <c r="F1269" s="159"/>
      <c r="G1269" s="190" t="s">
        <v>525</v>
      </c>
      <c r="H1269" s="38" t="s">
        <v>2446</v>
      </c>
      <c r="I1269" s="164" t="s">
        <v>780</v>
      </c>
      <c r="J1269" s="189" t="s">
        <v>2465</v>
      </c>
      <c r="K1269" s="159">
        <v>4974</v>
      </c>
      <c r="L1269" s="166">
        <v>240</v>
      </c>
      <c r="M1269" s="166">
        <v>1620</v>
      </c>
      <c r="N1269" s="167">
        <v>45329</v>
      </c>
      <c r="O1269" s="168"/>
      <c r="P1269" s="168"/>
      <c r="Q1269" s="159" t="e">
        <f>MONTH([1]!Tableau13[[#This Row],[Date début]])</f>
        <v>#REF!</v>
      </c>
      <c r="R1269" s="161" t="e">
        <f>YEAR([1]!Tableau13[[#This Row],[Date début]])</f>
        <v>#REF!</v>
      </c>
    </row>
    <row r="1270" spans="1:18" ht="30">
      <c r="A1270" s="158">
        <v>45329</v>
      </c>
      <c r="B1270" s="159">
        <v>407</v>
      </c>
      <c r="C1270" s="160" t="str">
        <f>IF(ISNA(VLOOKUP(Tableau13[[#This Row],[Code]],'Code Véhicule'!$A$4:$C$185,2,0)),"",VLOOKUP(Tableau13[[#This Row],[Code]],'Code Véhicule'!$A$4:$C$185,2,0))</f>
        <v>Semi remorque</v>
      </c>
      <c r="D1270" s="161" t="str">
        <f>IF(ISNA(VLOOKUP(Tableau13[[#This Row],[Code]],'Code Véhicule'!$A$4:$C$185,3,0)),"",VLOOKUP(Tableau13[[#This Row],[Code]],'Code Véhicule'!$A$4:$C$185,3,0))</f>
        <v>MAN</v>
      </c>
      <c r="E1270" s="159" t="str">
        <f>IF(ISNA(VLOOKUP(Tableau13[[#This Row],[Code]],'Code Véhicule'!$A$4:$D$185,4,0))," ",VLOOKUP(Tableau13[[#This Row],[Code]],'Code Véhicule'!$A$4:$D$185,4,0))</f>
        <v>706-A-73</v>
      </c>
      <c r="F1270" s="159"/>
      <c r="G1270" s="190" t="s">
        <v>2466</v>
      </c>
      <c r="H1270" s="38" t="s">
        <v>2409</v>
      </c>
      <c r="I1270" s="164" t="s">
        <v>780</v>
      </c>
      <c r="J1270" s="189" t="s">
        <v>2467</v>
      </c>
      <c r="K1270" s="159">
        <v>4975</v>
      </c>
      <c r="L1270" s="166">
        <v>1080</v>
      </c>
      <c r="M1270" s="166">
        <v>1080</v>
      </c>
      <c r="N1270" s="167">
        <v>45331</v>
      </c>
      <c r="O1270" s="168"/>
      <c r="P1270" s="168"/>
      <c r="Q1270" s="159" t="e">
        <f>MONTH([1]!Tableau13[[#This Row],[Date début]])</f>
        <v>#REF!</v>
      </c>
      <c r="R1270" s="161" t="e">
        <f>YEAR([1]!Tableau13[[#This Row],[Date début]])</f>
        <v>#REF!</v>
      </c>
    </row>
    <row r="1271" spans="1:18">
      <c r="A1271" s="158">
        <v>45329</v>
      </c>
      <c r="B1271" s="159">
        <v>436</v>
      </c>
      <c r="C1271" s="160" t="str">
        <f>IF(ISNA(VLOOKUP(Tableau13[[#This Row],[Code]],'Code Véhicule'!$A$4:$C$185,2,0)),"",VLOOKUP(Tableau13[[#This Row],[Code]],'Code Véhicule'!$A$4:$C$185,2,0))</f>
        <v>Camion</v>
      </c>
      <c r="D1271" s="161" t="str">
        <f>IF(ISNA(VLOOKUP(Tableau13[[#This Row],[Code]],'Code Véhicule'!$A$4:$C$185,3,0)),"",VLOOKUP(Tableau13[[#This Row],[Code]],'Code Véhicule'!$A$4:$C$185,3,0))</f>
        <v>Mitsubishi</v>
      </c>
      <c r="E1271" s="159" t="str">
        <f>IF(ISNA(VLOOKUP(Tableau13[[#This Row],[Code]],'Code Véhicule'!$A$4:$D$185,4,0))," ",VLOOKUP(Tableau13[[#This Row],[Code]],'Code Véhicule'!$A$4:$D$185,4,0))</f>
        <v>11470-A-73</v>
      </c>
      <c r="F1271" s="159"/>
      <c r="G1271" s="190" t="s">
        <v>2364</v>
      </c>
      <c r="H1271" s="38" t="s">
        <v>560</v>
      </c>
      <c r="I1271" s="164" t="s">
        <v>780</v>
      </c>
      <c r="J1271" s="189" t="s">
        <v>2468</v>
      </c>
      <c r="K1271" s="159">
        <v>4976</v>
      </c>
      <c r="L1271" s="166">
        <v>240</v>
      </c>
      <c r="M1271" s="166">
        <v>240</v>
      </c>
      <c r="N1271" s="167">
        <v>45329</v>
      </c>
      <c r="O1271" s="168"/>
      <c r="P1271" s="168"/>
      <c r="Q1271" s="159" t="e">
        <f>MONTH([1]!Tableau13[[#This Row],[Date début]])</f>
        <v>#REF!</v>
      </c>
      <c r="R1271" s="161" t="e">
        <f>YEAR([1]!Tableau13[[#This Row],[Date début]])</f>
        <v>#REF!</v>
      </c>
    </row>
    <row r="1272" spans="1:18">
      <c r="A1272" s="158">
        <v>45329</v>
      </c>
      <c r="B1272" s="159">
        <v>406</v>
      </c>
      <c r="C1272" s="160" t="str">
        <f>IF(ISNA(VLOOKUP(Tableau13[[#This Row],[Code]],'Code Véhicule'!$A$4:$C$185,2,0)),"",VLOOKUP(Tableau13[[#This Row],[Code]],'Code Véhicule'!$A$4:$C$185,2,0))</f>
        <v>Semi remorque</v>
      </c>
      <c r="D1272" s="161" t="str">
        <f>IF(ISNA(VLOOKUP(Tableau13[[#This Row],[Code]],'Code Véhicule'!$A$4:$C$185,3,0)),"",VLOOKUP(Tableau13[[#This Row],[Code]],'Code Véhicule'!$A$4:$C$185,3,0))</f>
        <v>VOLVO</v>
      </c>
      <c r="E1272" s="159" t="str">
        <f>IF(ISNA(VLOOKUP(Tableau13[[#This Row],[Code]],'Code Véhicule'!$A$4:$D$185,4,0))," ",VLOOKUP(Tableau13[[#This Row],[Code]],'Code Véhicule'!$A$4:$D$185,4,0))</f>
        <v>70352-A-6</v>
      </c>
      <c r="F1272" s="159"/>
      <c r="G1272" s="190" t="s">
        <v>2391</v>
      </c>
      <c r="H1272" s="38" t="s">
        <v>313</v>
      </c>
      <c r="I1272" s="164" t="s">
        <v>780</v>
      </c>
      <c r="J1272" s="189" t="s">
        <v>2469</v>
      </c>
      <c r="K1272" s="159">
        <v>4977</v>
      </c>
      <c r="L1272" s="166">
        <v>1080</v>
      </c>
      <c r="M1272" s="166">
        <v>1080</v>
      </c>
      <c r="N1272" s="167">
        <v>45331</v>
      </c>
      <c r="O1272" s="168"/>
      <c r="P1272" s="168"/>
      <c r="Q1272" s="159" t="e">
        <f>MONTH([1]!Tableau13[[#This Row],[Date début]])</f>
        <v>#REF!</v>
      </c>
      <c r="R1272" s="161" t="e">
        <f>YEAR([1]!Tableau13[[#This Row],[Date début]])</f>
        <v>#REF!</v>
      </c>
    </row>
    <row r="1273" spans="1:18" ht="30">
      <c r="A1273" s="158">
        <v>45330</v>
      </c>
      <c r="B1273" s="159">
        <v>410</v>
      </c>
      <c r="C1273" s="160" t="str">
        <f>IF(ISNA(VLOOKUP(Tableau13[[#This Row],[Code]],'Code Véhicule'!$A$4:$C$185,2,0)),"",VLOOKUP(Tableau13[[#This Row],[Code]],'Code Véhicule'!$A$4:$C$185,2,0))</f>
        <v>Semi remorque</v>
      </c>
      <c r="D1273" s="161" t="str">
        <f>IF(ISNA(VLOOKUP(Tableau13[[#This Row],[Code]],'Code Véhicule'!$A$4:$C$185,3,0)),"",VLOOKUP(Tableau13[[#This Row],[Code]],'Code Véhicule'!$A$4:$C$185,3,0))</f>
        <v>MAN</v>
      </c>
      <c r="E1273" s="159" t="str">
        <f>IF(ISNA(VLOOKUP(Tableau13[[#This Row],[Code]],'Code Véhicule'!$A$4:$D$185,4,0))," ",VLOOKUP(Tableau13[[#This Row],[Code]],'Code Véhicule'!$A$4:$D$185,4,0))</f>
        <v xml:space="preserve">28659-D-1 </v>
      </c>
      <c r="F1273" s="159"/>
      <c r="G1273" s="190" t="s">
        <v>2391</v>
      </c>
      <c r="H1273" s="38" t="s">
        <v>2155</v>
      </c>
      <c r="I1273" s="164" t="s">
        <v>780</v>
      </c>
      <c r="J1273" s="189" t="s">
        <v>2470</v>
      </c>
      <c r="K1273" s="159">
        <v>5019</v>
      </c>
      <c r="L1273" s="166">
        <v>240</v>
      </c>
      <c r="M1273" s="166">
        <v>240</v>
      </c>
      <c r="N1273" s="193" t="s">
        <v>2471</v>
      </c>
      <c r="O1273" s="168"/>
      <c r="P1273" s="168"/>
      <c r="Q1273" s="159" t="e">
        <f>MONTH([1]!Tableau13[[#This Row],[Date début]])</f>
        <v>#REF!</v>
      </c>
      <c r="R1273" s="161" t="e">
        <f>YEAR([1]!Tableau13[[#This Row],[Date début]])</f>
        <v>#REF!</v>
      </c>
    </row>
    <row r="1274" spans="1:18">
      <c r="A1274" s="158">
        <v>45330</v>
      </c>
      <c r="B1274" s="159">
        <v>431</v>
      </c>
      <c r="C1274" s="160" t="str">
        <f>IF(ISNA(VLOOKUP(Tableau13[[#This Row],[Code]],'Code Véhicule'!$A$4:$C$185,2,0)),"",VLOOKUP(Tableau13[[#This Row],[Code]],'Code Véhicule'!$A$4:$C$185,2,0))</f>
        <v>Chariot elevateur</v>
      </c>
      <c r="D1274" s="161" t="str">
        <f>IF(ISNA(VLOOKUP(Tableau13[[#This Row],[Code]],'Code Véhicule'!$A$4:$C$185,3,0)),"",VLOOKUP(Tableau13[[#This Row],[Code]],'Code Véhicule'!$A$4:$C$185,3,0))</f>
        <v>Manitou M26-2</v>
      </c>
      <c r="E1274" s="159" t="str">
        <f>IF(ISNA(VLOOKUP(Tableau13[[#This Row],[Code]],'Code Véhicule'!$A$4:$D$185,4,0))," ",VLOOKUP(Tableau13[[#This Row],[Code]],'Code Véhicule'!$A$4:$D$185,4,0))</f>
        <v>-</v>
      </c>
      <c r="F1274" s="159"/>
      <c r="G1274" s="190" t="s">
        <v>2391</v>
      </c>
      <c r="H1274" s="38" t="s">
        <v>2472</v>
      </c>
      <c r="I1274" s="164" t="s">
        <v>780</v>
      </c>
      <c r="J1274" s="189" t="s">
        <v>2473</v>
      </c>
      <c r="K1274" s="159">
        <v>5047</v>
      </c>
      <c r="L1274" s="166">
        <v>120</v>
      </c>
      <c r="M1274" s="166">
        <v>120</v>
      </c>
      <c r="N1274" s="167">
        <v>45330</v>
      </c>
      <c r="O1274" s="168"/>
      <c r="P1274" s="168"/>
      <c r="Q1274" s="159" t="e">
        <f>MONTH([1]!Tableau13[[#This Row],[Date début]])</f>
        <v>#REF!</v>
      </c>
      <c r="R1274" s="161" t="e">
        <f>YEAR([1]!Tableau13[[#This Row],[Date début]])</f>
        <v>#REF!</v>
      </c>
    </row>
    <row r="1275" spans="1:18" ht="30">
      <c r="A1275" s="158">
        <v>45332</v>
      </c>
      <c r="B1275" s="159">
        <v>411</v>
      </c>
      <c r="C1275" s="160" t="str">
        <f>IF(ISNA(VLOOKUP(Tableau13[[#This Row],[Code]],'Code Véhicule'!$A$4:$C$185,2,0)),"",VLOOKUP(Tableau13[[#This Row],[Code]],'Code Véhicule'!$A$4:$C$185,2,0))</f>
        <v>Camion</v>
      </c>
      <c r="D1275" s="161" t="str">
        <f>IF(ISNA(VLOOKUP(Tableau13[[#This Row],[Code]],'Code Véhicule'!$A$4:$C$185,3,0)),"",VLOOKUP(Tableau13[[#This Row],[Code]],'Code Véhicule'!$A$4:$C$185,3,0))</f>
        <v>Renault</v>
      </c>
      <c r="E1275" s="159" t="str">
        <f>IF(ISNA(VLOOKUP(Tableau13[[#This Row],[Code]],'Code Véhicule'!$A$4:$D$185,4,0))," ",VLOOKUP(Tableau13[[#This Row],[Code]],'Code Véhicule'!$A$4:$D$185,4,0))</f>
        <v>25636-A-13</v>
      </c>
      <c r="F1275" s="159"/>
      <c r="G1275" s="190" t="s">
        <v>2474</v>
      </c>
      <c r="H1275" s="38" t="s">
        <v>560</v>
      </c>
      <c r="I1275" s="164" t="s">
        <v>780</v>
      </c>
      <c r="J1275" s="189" t="s">
        <v>2475</v>
      </c>
      <c r="K1275" s="159">
        <v>5075</v>
      </c>
      <c r="L1275" s="166">
        <v>120</v>
      </c>
      <c r="M1275" s="166">
        <v>120</v>
      </c>
      <c r="N1275" s="167">
        <v>45330</v>
      </c>
      <c r="O1275" s="168"/>
      <c r="P1275" s="168"/>
      <c r="Q1275" s="159" t="e">
        <f>MONTH([1]!Tableau13[[#This Row],[Date début]])</f>
        <v>#REF!</v>
      </c>
      <c r="R1275" s="161" t="e">
        <f>YEAR([1]!Tableau13[[#This Row],[Date début]])</f>
        <v>#REF!</v>
      </c>
    </row>
    <row r="1276" spans="1:18" ht="30">
      <c r="A1276" s="158">
        <v>45332</v>
      </c>
      <c r="B1276" s="159">
        <v>408</v>
      </c>
      <c r="C1276" s="160" t="str">
        <f>IF(ISNA(VLOOKUP(Tableau13[[#This Row],[Code]],'Code Véhicule'!$A$4:$C$185,2,0)),"",VLOOKUP(Tableau13[[#This Row],[Code]],'Code Véhicule'!$A$4:$C$185,2,0))</f>
        <v>Camion</v>
      </c>
      <c r="D1276" s="161" t="str">
        <f>IF(ISNA(VLOOKUP(Tableau13[[#This Row],[Code]],'Code Véhicule'!$A$4:$C$185,3,0)),"",VLOOKUP(Tableau13[[#This Row],[Code]],'Code Véhicule'!$A$4:$C$185,3,0))</f>
        <v>Mitsubishi</v>
      </c>
      <c r="E1276" s="159" t="str">
        <f>IF(ISNA(VLOOKUP(Tableau13[[#This Row],[Code]],'Code Véhicule'!$A$4:$D$185,4,0))," ",VLOOKUP(Tableau13[[#This Row],[Code]],'Code Véhicule'!$A$4:$D$185,4,0))</f>
        <v>4703-A-73</v>
      </c>
      <c r="F1276" s="159"/>
      <c r="G1276" s="190" t="s">
        <v>2391</v>
      </c>
      <c r="H1276" s="38" t="s">
        <v>2392</v>
      </c>
      <c r="I1276" s="194" t="s">
        <v>2476</v>
      </c>
      <c r="J1276" s="189" t="s">
        <v>2477</v>
      </c>
      <c r="K1276" s="159">
        <v>5095</v>
      </c>
      <c r="L1276" s="166">
        <v>120</v>
      </c>
      <c r="M1276" s="166">
        <v>120</v>
      </c>
      <c r="N1276" s="167">
        <v>45332</v>
      </c>
      <c r="O1276" s="168"/>
      <c r="P1276" s="168"/>
      <c r="Q1276" s="159" t="e">
        <f>MONTH([1]!Tableau13[[#This Row],[Date début]])</f>
        <v>#REF!</v>
      </c>
      <c r="R1276" s="161" t="e">
        <f>YEAR([1]!Tableau13[[#This Row],[Date début]])</f>
        <v>#REF!</v>
      </c>
    </row>
    <row r="1277" spans="1:18">
      <c r="A1277" s="192">
        <v>45334</v>
      </c>
      <c r="B1277" s="159">
        <v>408</v>
      </c>
      <c r="C1277" s="160" t="str">
        <f>IF(ISNA(VLOOKUP(Tableau13[[#This Row],[Code]],'Code Véhicule'!$A$4:$C$185,2,0)),"",VLOOKUP(Tableau13[[#This Row],[Code]],'Code Véhicule'!$A$4:$C$185,2,0))</f>
        <v>Camion</v>
      </c>
      <c r="D1277" s="161" t="str">
        <f>IF(ISNA(VLOOKUP(Tableau13[[#This Row],[Code]],'Code Véhicule'!$A$4:$C$185,3,0)),"",VLOOKUP(Tableau13[[#This Row],[Code]],'Code Véhicule'!$A$4:$C$185,3,0))</f>
        <v>Mitsubishi</v>
      </c>
      <c r="E1277" s="159" t="str">
        <f>IF(ISNA(VLOOKUP(Tableau13[[#This Row],[Code]],'Code Véhicule'!$A$4:$D$185,4,0))," ",VLOOKUP(Tableau13[[#This Row],[Code]],'Code Véhicule'!$A$4:$D$185,4,0))</f>
        <v>4703-A-73</v>
      </c>
      <c r="F1277" s="159"/>
      <c r="G1277" s="162" t="s">
        <v>525</v>
      </c>
      <c r="H1277" s="162" t="s">
        <v>560</v>
      </c>
      <c r="I1277" s="194" t="s">
        <v>780</v>
      </c>
      <c r="J1277" s="165" t="s">
        <v>2401</v>
      </c>
      <c r="K1277" s="159">
        <v>5117</v>
      </c>
      <c r="L1277" s="166">
        <v>120</v>
      </c>
      <c r="M1277" s="166">
        <v>120</v>
      </c>
      <c r="N1277" s="167">
        <v>45334</v>
      </c>
      <c r="O1277" s="168"/>
      <c r="P1277" s="168"/>
      <c r="Q1277" s="195" t="s">
        <v>903</v>
      </c>
      <c r="R1277" s="161"/>
    </row>
    <row r="1278" spans="1:18" ht="30">
      <c r="A1278" s="192">
        <v>45334</v>
      </c>
      <c r="B1278" s="159">
        <v>409</v>
      </c>
      <c r="C1278" s="160" t="str">
        <f>IF(ISNA(VLOOKUP(Tableau13[[#This Row],[Code]],'Code Véhicule'!$A$4:$C$185,2,0)),"",VLOOKUP(Tableau13[[#This Row],[Code]],'Code Véhicule'!$A$4:$C$185,2,0))</f>
        <v>Camion</v>
      </c>
      <c r="D1278" s="161" t="str">
        <f>IF(ISNA(VLOOKUP(Tableau13[[#This Row],[Code]],'Code Véhicule'!$A$4:$C$185,3,0)),"",VLOOKUP(Tableau13[[#This Row],[Code]],'Code Véhicule'!$A$4:$C$185,3,0))</f>
        <v>Mitsubishi</v>
      </c>
      <c r="E1278" s="159" t="str">
        <f>IF(ISNA(VLOOKUP(Tableau13[[#This Row],[Code]],'Code Véhicule'!$A$4:$D$185,4,0))," ",VLOOKUP(Tableau13[[#This Row],[Code]],'Code Véhicule'!$A$4:$D$185,4,0))</f>
        <v xml:space="preserve">4969-A-73 </v>
      </c>
      <c r="F1278" s="159"/>
      <c r="G1278" s="190" t="s">
        <v>2391</v>
      </c>
      <c r="H1278" s="163" t="s">
        <v>2478</v>
      </c>
      <c r="I1278" s="194" t="s">
        <v>2476</v>
      </c>
      <c r="J1278" s="165" t="s">
        <v>2479</v>
      </c>
      <c r="K1278" s="159">
        <v>5135</v>
      </c>
      <c r="L1278" s="166">
        <v>120</v>
      </c>
      <c r="M1278" s="166">
        <v>120</v>
      </c>
      <c r="N1278" s="167">
        <v>45334</v>
      </c>
      <c r="O1278" s="168"/>
      <c r="P1278" s="168"/>
      <c r="Q1278" s="159" t="e">
        <f>MONTH([1]!Tableau13[[#This Row],[Date début]])</f>
        <v>#REF!</v>
      </c>
      <c r="R1278" s="161" t="e">
        <f>YEAR([1]!Tableau13[[#This Row],[Date début]])</f>
        <v>#REF!</v>
      </c>
    </row>
    <row r="1279" spans="1:18" ht="30">
      <c r="A1279" s="158">
        <v>45336</v>
      </c>
      <c r="B1279" s="159">
        <v>408</v>
      </c>
      <c r="C1279" s="160" t="str">
        <f>IF(ISNA(VLOOKUP(Tableau13[[#This Row],[Code]],'Code Véhicule'!$A$4:$C$185,2,0)),"",VLOOKUP(Tableau13[[#This Row],[Code]],'Code Véhicule'!$A$4:$C$185,2,0))</f>
        <v>Camion</v>
      </c>
      <c r="D1279" s="161" t="str">
        <f>IF(ISNA(VLOOKUP(Tableau13[[#This Row],[Code]],'Code Véhicule'!$A$4:$C$185,3,0)),"",VLOOKUP(Tableau13[[#This Row],[Code]],'Code Véhicule'!$A$4:$C$185,3,0))</f>
        <v>Mitsubishi</v>
      </c>
      <c r="E1279" s="159" t="str">
        <f>IF(ISNA(VLOOKUP(Tableau13[[#This Row],[Code]],'Code Véhicule'!$A$4:$D$185,4,0))," ",VLOOKUP(Tableau13[[#This Row],[Code]],'Code Véhicule'!$A$4:$D$185,4,0))</f>
        <v>4703-A-73</v>
      </c>
      <c r="F1279" s="159"/>
      <c r="G1279" s="162" t="s">
        <v>525</v>
      </c>
      <c r="H1279" s="163" t="s">
        <v>2480</v>
      </c>
      <c r="I1279" s="164" t="s">
        <v>304</v>
      </c>
      <c r="J1279" s="165" t="s">
        <v>2481</v>
      </c>
      <c r="K1279" s="159">
        <v>5188</v>
      </c>
      <c r="L1279" s="166">
        <v>120</v>
      </c>
      <c r="M1279" s="166">
        <v>120</v>
      </c>
      <c r="N1279" s="167">
        <v>45336</v>
      </c>
      <c r="O1279" s="168"/>
      <c r="P1279" s="168"/>
      <c r="Q1279" s="159" t="e">
        <f>MONTH([1]!Tableau13[[#This Row],[Date début]])</f>
        <v>#REF!</v>
      </c>
      <c r="R1279" s="161" t="e">
        <f>YEAR([1]!Tableau13[[#This Row],[Date début]])</f>
        <v>#REF!</v>
      </c>
    </row>
    <row r="1280" spans="1:18" ht="30">
      <c r="A1280" s="158">
        <v>45336</v>
      </c>
      <c r="B1280" s="159">
        <v>408</v>
      </c>
      <c r="C1280" s="160" t="str">
        <f>IF(ISNA(VLOOKUP(Tableau13[[#This Row],[Code]],'Code Véhicule'!$A$4:$C$185,2,0)),"",VLOOKUP(Tableau13[[#This Row],[Code]],'Code Véhicule'!$A$4:$C$185,2,0))</f>
        <v>Camion</v>
      </c>
      <c r="D1280" s="161" t="str">
        <f>IF(ISNA(VLOOKUP(Tableau13[[#This Row],[Code]],'Code Véhicule'!$A$4:$C$185,3,0)),"",VLOOKUP(Tableau13[[#This Row],[Code]],'Code Véhicule'!$A$4:$C$185,3,0))</f>
        <v>Mitsubishi</v>
      </c>
      <c r="E1280" s="159" t="str">
        <f>IF(ISNA(VLOOKUP(Tableau13[[#This Row],[Code]],'Code Véhicule'!$A$4:$D$185,4,0))," ",VLOOKUP(Tableau13[[#This Row],[Code]],'Code Véhicule'!$A$4:$D$185,4,0))</f>
        <v>4703-A-73</v>
      </c>
      <c r="F1280" s="159"/>
      <c r="G1280" s="162" t="s">
        <v>2414</v>
      </c>
      <c r="H1280" s="163" t="s">
        <v>2482</v>
      </c>
      <c r="I1280" s="164" t="s">
        <v>304</v>
      </c>
      <c r="J1280" s="165" t="s">
        <v>2483</v>
      </c>
      <c r="K1280" s="159" t="s">
        <v>2484</v>
      </c>
      <c r="L1280" s="166">
        <v>5400</v>
      </c>
      <c r="M1280" s="166">
        <v>5400</v>
      </c>
      <c r="N1280" s="167">
        <v>45346</v>
      </c>
      <c r="O1280" s="168"/>
      <c r="P1280" s="168"/>
      <c r="Q1280" s="159" t="e">
        <f>MONTH([1]!Tableau13[[#This Row],[Date début]])</f>
        <v>#REF!</v>
      </c>
      <c r="R1280" s="161" t="e">
        <f>YEAR([1]!Tableau13[[#This Row],[Date début]])</f>
        <v>#REF!</v>
      </c>
    </row>
    <row r="1281" spans="1:18" ht="30">
      <c r="A1281" s="158">
        <v>45339</v>
      </c>
      <c r="B1281" s="159">
        <v>436</v>
      </c>
      <c r="C1281" s="160" t="str">
        <f>IF(ISNA(VLOOKUP(Tableau13[[#This Row],[Code]],'Code Véhicule'!$A$4:$C$185,2,0)),"",VLOOKUP(Tableau13[[#This Row],[Code]],'Code Véhicule'!$A$4:$C$185,2,0))</f>
        <v>Camion</v>
      </c>
      <c r="D1281" s="161" t="str">
        <f>IF(ISNA(VLOOKUP(Tableau13[[#This Row],[Code]],'Code Véhicule'!$A$4:$C$185,3,0)),"",VLOOKUP(Tableau13[[#This Row],[Code]],'Code Véhicule'!$A$4:$C$185,3,0))</f>
        <v>Mitsubishi</v>
      </c>
      <c r="E1281" s="159" t="str">
        <f>IF(ISNA(VLOOKUP(Tableau13[[#This Row],[Code]],'Code Véhicule'!$A$4:$D$185,4,0))," ",VLOOKUP(Tableau13[[#This Row],[Code]],'Code Véhicule'!$A$4:$D$185,4,0))</f>
        <v>11470-A-73</v>
      </c>
      <c r="F1281" s="159"/>
      <c r="G1281" s="162" t="s">
        <v>2396</v>
      </c>
      <c r="H1281" s="163" t="s">
        <v>2392</v>
      </c>
      <c r="I1281" s="164" t="s">
        <v>302</v>
      </c>
      <c r="J1281" s="165" t="s">
        <v>2485</v>
      </c>
      <c r="K1281" s="159">
        <v>5286</v>
      </c>
      <c r="L1281" s="166">
        <v>120</v>
      </c>
      <c r="M1281" s="166">
        <v>120</v>
      </c>
      <c r="N1281" s="167">
        <v>45339</v>
      </c>
      <c r="O1281" s="168"/>
      <c r="P1281" s="168"/>
      <c r="Q1281" s="159" t="e">
        <f>MONTH([1]!Tableau13[[#This Row],[Date début]])</f>
        <v>#REF!</v>
      </c>
      <c r="R1281" s="161" t="e">
        <f>YEAR([1]!Tableau13[[#This Row],[Date début]])</f>
        <v>#REF!</v>
      </c>
    </row>
    <row r="1282" spans="1:18" ht="30">
      <c r="A1282" s="158">
        <v>45339</v>
      </c>
      <c r="B1282" s="159">
        <v>482</v>
      </c>
      <c r="C1282" s="160" t="str">
        <f>IF(ISNA(VLOOKUP(Tableau13[[#This Row],[Code]],'Code Véhicule'!$A$4:$C$185,2,0)),"",VLOOKUP(Tableau13[[#This Row],[Code]],'Code Véhicule'!$A$4:$C$185,2,0))</f>
        <v>Pick up</v>
      </c>
      <c r="D1282" s="161" t="str">
        <f>IF(ISNA(VLOOKUP(Tableau13[[#This Row],[Code]],'Code Véhicule'!$A$4:$C$185,3,0)),"",VLOOKUP(Tableau13[[#This Row],[Code]],'Code Véhicule'!$A$4:$C$185,3,0))</f>
        <v>HYUNDAI H100</v>
      </c>
      <c r="E1282" s="161" t="str">
        <f>IF(ISNA(VLOOKUP(Tableau13[[#This Row],[Code]],'Code Véhicule'!$A$4:$D$185,4,0))," ",VLOOKUP(Tableau13[[#This Row],[Code]],'Code Véhicule'!$A$4:$D$185,4,0))</f>
        <v>22368-A-73</v>
      </c>
      <c r="F1282" s="159" t="e">
        <f>IF(ISNA(VLOOKUP([1]!Tableau13[[#This Row],[Code]],'[1]Code Véhicule'!$A$4:$D$185,4,0))," ",VLOOKUP([1]!Tableau13[[#This Row],[Code]],'[1]Code Véhicule'!$A$4:$D$185,4,0))</f>
        <v>#REF!</v>
      </c>
      <c r="G1282" s="162" t="s">
        <v>2396</v>
      </c>
      <c r="H1282" s="163" t="s">
        <v>2404</v>
      </c>
      <c r="I1282" s="164" t="s">
        <v>302</v>
      </c>
      <c r="J1282" s="165" t="s">
        <v>2486</v>
      </c>
      <c r="K1282" s="159">
        <v>5293</v>
      </c>
      <c r="L1282" s="166">
        <v>120</v>
      </c>
      <c r="M1282" s="166">
        <v>120</v>
      </c>
      <c r="N1282" s="167">
        <v>45339</v>
      </c>
      <c r="O1282" s="168"/>
      <c r="P1282" s="168"/>
      <c r="Q1282" s="159" t="e">
        <f>MONTH([1]!Tableau13[[#This Row],[Date début]])</f>
        <v>#REF!</v>
      </c>
      <c r="R1282" s="161" t="e">
        <f>YEAR([1]!Tableau13[[#This Row],[Date début]])</f>
        <v>#REF!</v>
      </c>
    </row>
    <row r="1283" spans="1:18">
      <c r="A1283" s="158">
        <v>45342</v>
      </c>
      <c r="B1283" s="159">
        <v>477</v>
      </c>
      <c r="C1283" s="160" t="str">
        <f>IF(ISNA(VLOOKUP(Tableau13[[#This Row],[Code]],'Code Véhicule'!$A$4:$C$185,2,0)),"",VLOOKUP(Tableau13[[#This Row],[Code]],'Code Véhicule'!$A$4:$C$185,2,0))</f>
        <v>Chariot elevateur</v>
      </c>
      <c r="D1283" s="161" t="str">
        <f>IF(ISNA(VLOOKUP(Tableau13[[#This Row],[Code]],'Code Véhicule'!$A$4:$C$185,3,0)),"",VLOOKUP(Tableau13[[#This Row],[Code]],'Code Véhicule'!$A$4:$C$185,3,0))</f>
        <v>Linde H30D</v>
      </c>
      <c r="E1283" s="159" t="str">
        <f>IF(ISNA(VLOOKUP(Tableau13[[#This Row],[Code]],'Code Véhicule'!$A$4:$D$185,4,0))," ",VLOOKUP(Tableau13[[#This Row],[Code]],'Code Véhicule'!$A$4:$D$185,4,0))</f>
        <v>-</v>
      </c>
      <c r="F1283" s="159"/>
      <c r="G1283" s="162" t="s">
        <v>2396</v>
      </c>
      <c r="H1283" s="163" t="s">
        <v>2397</v>
      </c>
      <c r="I1283" s="164" t="s">
        <v>780</v>
      </c>
      <c r="J1283" s="165" t="s">
        <v>2487</v>
      </c>
      <c r="K1283" s="159">
        <v>5379</v>
      </c>
      <c r="L1283" s="166">
        <v>1080</v>
      </c>
      <c r="M1283" s="166">
        <v>3780</v>
      </c>
      <c r="N1283" s="167">
        <v>45350</v>
      </c>
      <c r="O1283" s="168"/>
      <c r="P1283" s="168"/>
      <c r="Q1283" s="159" t="e">
        <f>MONTH([1]!Tableau13[[#This Row],[Date début]])</f>
        <v>#REF!</v>
      </c>
      <c r="R1283" s="161" t="e">
        <f>YEAR([1]!Tableau13[[#This Row],[Date début]])</f>
        <v>#REF!</v>
      </c>
    </row>
    <row r="1284" spans="1:18" ht="43.5" customHeight="1">
      <c r="A1284" s="158">
        <v>45343</v>
      </c>
      <c r="B1284" s="159">
        <v>435</v>
      </c>
      <c r="C1284" s="160" t="str">
        <f>IF(ISNA(VLOOKUP(Tableau13[[#This Row],[Code]],'Code Véhicule'!$A$4:$C$185,2,0)),"",VLOOKUP(Tableau13[[#This Row],[Code]],'Code Véhicule'!$A$4:$C$185,2,0))</f>
        <v>Camion</v>
      </c>
      <c r="D1284" s="161" t="str">
        <f>IF(ISNA(VLOOKUP(Tableau13[[#This Row],[Code]],'Code Véhicule'!$A$4:$C$185,3,0)),"",VLOOKUP(Tableau13[[#This Row],[Code]],'Code Véhicule'!$A$4:$C$185,3,0))</f>
        <v>Mitsubishi</v>
      </c>
      <c r="E1284" s="159" t="str">
        <f>IF(ISNA(VLOOKUP(Tableau13[[#This Row],[Code]],'Code Véhicule'!$A$4:$D$185,4,0))," ",VLOOKUP(Tableau13[[#This Row],[Code]],'Code Véhicule'!$A$4:$D$185,4,0))</f>
        <v xml:space="preserve"> 11469-A-73</v>
      </c>
      <c r="F1284" s="159"/>
      <c r="G1284" s="162" t="s">
        <v>2391</v>
      </c>
      <c r="H1284" s="163" t="s">
        <v>2422</v>
      </c>
      <c r="I1284" s="164" t="s">
        <v>304</v>
      </c>
      <c r="J1284" s="165" t="s">
        <v>2491</v>
      </c>
      <c r="K1284" s="159">
        <v>5381</v>
      </c>
      <c r="L1284" s="166">
        <v>120</v>
      </c>
      <c r="M1284" s="166">
        <v>120</v>
      </c>
      <c r="N1284" s="167">
        <v>45343</v>
      </c>
      <c r="O1284" s="168"/>
      <c r="P1284" s="168"/>
      <c r="Q1284" s="159" t="e">
        <f>MONTH([1]!Tableau13[[#This Row],[Date début]])</f>
        <v>#REF!</v>
      </c>
      <c r="R1284" s="161" t="e">
        <f>YEAR([1]!Tableau13[[#This Row],[Date début]])</f>
        <v>#REF!</v>
      </c>
    </row>
    <row r="1285" spans="1:18">
      <c r="A1285" s="158" t="s">
        <v>2492</v>
      </c>
      <c r="B1285" s="159">
        <v>430</v>
      </c>
      <c r="C1285" s="160" t="str">
        <f>IF(ISNA(VLOOKUP(Tableau13[[#This Row],[Code]],'Code Véhicule'!$A$4:$C$185,2,0)),"",VLOOKUP(Tableau13[[#This Row],[Code]],'Code Véhicule'!$A$4:$C$185,2,0))</f>
        <v>Chariot elevateur</v>
      </c>
      <c r="D1285" s="161" t="str">
        <f>IF(ISNA(VLOOKUP(Tableau13[[#This Row],[Code]],'Code Véhicule'!$A$4:$C$185,3,0)),"",VLOOKUP(Tableau13[[#This Row],[Code]],'Code Véhicule'!$A$4:$C$185,3,0))</f>
        <v>Fenwick  H40</v>
      </c>
      <c r="E1285" s="159" t="str">
        <f>IF(ISNA(VLOOKUP(Tableau13[[#This Row],[Code]],'Code Véhicule'!$A$4:$D$185,4,0))," ",VLOOKUP(Tableau13[[#This Row],[Code]],'Code Véhicule'!$A$4:$D$185,4,0))</f>
        <v>-</v>
      </c>
      <c r="F1285" s="159"/>
      <c r="G1285" s="162" t="s">
        <v>2391</v>
      </c>
      <c r="H1285" s="163" t="s">
        <v>2288</v>
      </c>
      <c r="I1285" s="164" t="s">
        <v>304</v>
      </c>
      <c r="J1285" s="165" t="s">
        <v>2493</v>
      </c>
      <c r="K1285" s="159">
        <v>5411</v>
      </c>
      <c r="L1285" s="166">
        <v>540</v>
      </c>
      <c r="M1285" s="166">
        <v>1080</v>
      </c>
      <c r="N1285" s="167">
        <v>45345</v>
      </c>
      <c r="O1285" s="168"/>
      <c r="P1285" s="168"/>
      <c r="Q1285" s="159" t="e">
        <f>MONTH([1]!Tableau13[[#This Row],[Date début]])</f>
        <v>#REF!</v>
      </c>
      <c r="R1285" s="161" t="e">
        <f>YEAR([1]!Tableau13[[#This Row],[Date début]])</f>
        <v>#REF!</v>
      </c>
    </row>
    <row r="1286" spans="1:18" ht="30">
      <c r="A1286" s="158">
        <v>45345</v>
      </c>
      <c r="B1286" s="159">
        <v>420</v>
      </c>
      <c r="C1286" s="160" t="str">
        <f>IF(ISNA(VLOOKUP(Tableau13[[#This Row],[Code]],'Code Véhicule'!$A$4:$C$185,2,0)),"",VLOOKUP(Tableau13[[#This Row],[Code]],'Code Véhicule'!$A$4:$C$185,2,0))</f>
        <v>Chariot elevateur</v>
      </c>
      <c r="D1286" s="161" t="str">
        <f>IF(ISNA(VLOOKUP(Tableau13[[#This Row],[Code]],'Code Véhicule'!$A$4:$C$185,3,0)),"",VLOOKUP(Tableau13[[#This Row],[Code]],'Code Véhicule'!$A$4:$C$185,3,0))</f>
        <v>linde h 45</v>
      </c>
      <c r="E1286" s="159">
        <f>IF(ISNA(VLOOKUP(Tableau13[[#This Row],[Code]],'Code Véhicule'!$A$4:$D$185,4,0))," ",VLOOKUP(Tableau13[[#This Row],[Code]],'Code Véhicule'!$A$4:$D$185,4,0))</f>
        <v>0</v>
      </c>
      <c r="F1286" s="159"/>
      <c r="G1286" s="162" t="s">
        <v>2396</v>
      </c>
      <c r="H1286" s="163" t="s">
        <v>661</v>
      </c>
      <c r="I1286" s="164" t="s">
        <v>304</v>
      </c>
      <c r="J1286" s="165" t="s">
        <v>2494</v>
      </c>
      <c r="K1286" s="159">
        <v>5463</v>
      </c>
      <c r="L1286" s="166">
        <v>1620</v>
      </c>
      <c r="M1286" s="166">
        <v>2700</v>
      </c>
      <c r="N1286" s="167">
        <v>45350</v>
      </c>
      <c r="O1286" s="168"/>
      <c r="P1286" s="168"/>
      <c r="Q1286" s="159" t="e">
        <f>MONTH([1]!Tableau13[[#This Row],[Date début]])</f>
        <v>#REF!</v>
      </c>
      <c r="R1286" s="161" t="e">
        <f>YEAR([1]!Tableau13[[#This Row],[Date début]])</f>
        <v>#REF!</v>
      </c>
    </row>
    <row r="1287" spans="1:18">
      <c r="A1287" s="158">
        <v>45346</v>
      </c>
      <c r="B1287" s="159">
        <v>429</v>
      </c>
      <c r="C1287" s="160" t="str">
        <f>IF(ISNA(VLOOKUP(Tableau13[[#This Row],[Code]],'Code Véhicule'!$A$4:$C$185,2,0)),"",VLOOKUP(Tableau13[[#This Row],[Code]],'Code Véhicule'!$A$4:$C$185,2,0))</f>
        <v>Chariot elevateur</v>
      </c>
      <c r="D1287" s="161" t="str">
        <f>IF(ISNA(VLOOKUP(Tableau13[[#This Row],[Code]],'Code Véhicule'!$A$4:$C$185,3,0)),"",VLOOKUP(Tableau13[[#This Row],[Code]],'Code Véhicule'!$A$4:$C$185,3,0))</f>
        <v>Fenwick HD30</v>
      </c>
      <c r="E1287" s="159" t="str">
        <f>IF(ISNA(VLOOKUP(Tableau13[[#This Row],[Code]],'Code Véhicule'!$A$4:$D$185,4,0))," ",VLOOKUP(Tableau13[[#This Row],[Code]],'Code Véhicule'!$A$4:$D$185,4,0))</f>
        <v>-</v>
      </c>
      <c r="F1287" s="159"/>
      <c r="G1287" s="162" t="s">
        <v>2396</v>
      </c>
      <c r="H1287" s="163" t="s">
        <v>2397</v>
      </c>
      <c r="I1287" s="164" t="s">
        <v>304</v>
      </c>
      <c r="J1287" s="165" t="s">
        <v>2495</v>
      </c>
      <c r="K1287" s="159">
        <v>5499</v>
      </c>
      <c r="L1287" s="166">
        <v>1620</v>
      </c>
      <c r="M1287" s="166">
        <v>2160</v>
      </c>
      <c r="N1287" s="167">
        <v>45350</v>
      </c>
      <c r="O1287" s="168"/>
      <c r="P1287" s="168"/>
      <c r="Q1287" s="159" t="e">
        <f>MONTH([1]!Tableau13[[#This Row],[Date début]])</f>
        <v>#REF!</v>
      </c>
      <c r="R1287" s="161" t="e">
        <f>YEAR([1]!Tableau13[[#This Row],[Date début]])</f>
        <v>#REF!</v>
      </c>
    </row>
    <row r="1288" spans="1:18">
      <c r="A1288" s="158">
        <v>45348</v>
      </c>
      <c r="B1288" s="159">
        <v>407</v>
      </c>
      <c r="C1288" s="160" t="str">
        <f>IF(ISNA(VLOOKUP(Tableau13[[#This Row],[Code]],'Code Véhicule'!$A$4:$C$185,2,0)),"",VLOOKUP(Tableau13[[#This Row],[Code]],'Code Véhicule'!$A$4:$C$185,2,0))</f>
        <v>Semi remorque</v>
      </c>
      <c r="D1288" s="161" t="str">
        <f>IF(ISNA(VLOOKUP(Tableau13[[#This Row],[Code]],'Code Véhicule'!$A$4:$C$185,3,0)),"",VLOOKUP(Tableau13[[#This Row],[Code]],'Code Véhicule'!$A$4:$C$185,3,0))</f>
        <v>MAN</v>
      </c>
      <c r="E1288" s="159" t="str">
        <f>IF(ISNA(VLOOKUP(Tableau13[[#This Row],[Code]],'Code Véhicule'!$A$4:$D$185,4,0))," ",VLOOKUP(Tableau13[[#This Row],[Code]],'Code Véhicule'!$A$4:$D$185,4,0))</f>
        <v>706-A-73</v>
      </c>
      <c r="F1288" s="159"/>
      <c r="G1288" s="162" t="s">
        <v>525</v>
      </c>
      <c r="H1288" s="163" t="s">
        <v>20</v>
      </c>
      <c r="I1288" s="164" t="s">
        <v>304</v>
      </c>
      <c r="J1288" s="165" t="s">
        <v>2496</v>
      </c>
      <c r="K1288" s="159">
        <v>5516</v>
      </c>
      <c r="L1288" s="166">
        <v>120</v>
      </c>
      <c r="M1288" s="166">
        <v>120</v>
      </c>
      <c r="N1288" s="167">
        <v>45348</v>
      </c>
      <c r="O1288" s="168"/>
      <c r="P1288" s="168"/>
      <c r="Q1288" s="159" t="e">
        <f>MONTH([1]!Tableau13[[#This Row],[Date début]])</f>
        <v>#REF!</v>
      </c>
      <c r="R1288" s="161" t="e">
        <f>YEAR([1]!Tableau13[[#This Row],[Date début]])</f>
        <v>#REF!</v>
      </c>
    </row>
    <row r="1289" spans="1:18" ht="38.25" customHeight="1">
      <c r="A1289" s="158">
        <v>45352</v>
      </c>
      <c r="B1289" s="159">
        <v>438</v>
      </c>
      <c r="C1289" s="160" t="str">
        <f>IF(ISNA(VLOOKUP(Tableau13[[#This Row],[Code]],'Code Véhicule'!$A$4:$C$185,2,0)),"",VLOOKUP(Tableau13[[#This Row],[Code]],'Code Véhicule'!$A$4:$C$185,2,0))</f>
        <v>Semi remorque</v>
      </c>
      <c r="D1289" s="161" t="str">
        <f>IF(ISNA(VLOOKUP(Tableau13[[#This Row],[Code]],'Code Véhicule'!$A$4:$C$185,3,0)),"",VLOOKUP(Tableau13[[#This Row],[Code]],'Code Véhicule'!$A$4:$C$185,3,0))</f>
        <v>VOLVO</v>
      </c>
      <c r="E1289" s="159" t="str">
        <f>IF(ISNA(VLOOKUP(Tableau13[[#This Row],[Code]],'Code Véhicule'!$A$4:$D$185,4,0))," ",VLOOKUP(Tableau13[[#This Row],[Code]],'Code Véhicule'!$A$4:$D$185,4,0))</f>
        <v xml:space="preserve">17885-A-73 </v>
      </c>
      <c r="F1289" s="159"/>
      <c r="G1289" s="190" t="s">
        <v>2396</v>
      </c>
      <c r="H1289" s="38" t="s">
        <v>2392</v>
      </c>
      <c r="I1289" s="194" t="s">
        <v>304</v>
      </c>
      <c r="J1289" s="189" t="s">
        <v>2497</v>
      </c>
      <c r="K1289" s="159">
        <v>6559</v>
      </c>
      <c r="L1289" s="166">
        <v>120</v>
      </c>
      <c r="M1289" s="166">
        <v>120</v>
      </c>
      <c r="N1289" s="193">
        <v>45352</v>
      </c>
      <c r="O1289" s="168"/>
      <c r="P1289" s="168"/>
      <c r="Q1289" s="159" t="e">
        <f>MONTH([1]!Tableau13[[#This Row],[Date début]])</f>
        <v>#REF!</v>
      </c>
      <c r="R1289" s="161" t="e">
        <f>YEAR([1]!Tableau13[[#This Row],[Date début]])</f>
        <v>#REF!</v>
      </c>
    </row>
    <row r="1290" spans="1:18" ht="57" customHeight="1">
      <c r="A1290" s="192">
        <v>45352</v>
      </c>
      <c r="B1290" s="159">
        <v>401</v>
      </c>
      <c r="C1290" s="160" t="str">
        <f>IF(ISNA(VLOOKUP(Tableau13[[#This Row],[Code]],'Code Véhicule'!$A$4:$C$185,2,0)),"",VLOOKUP(Tableau13[[#This Row],[Code]],'Code Véhicule'!$A$4:$C$185,2,0))</f>
        <v>Camion</v>
      </c>
      <c r="D1290" s="161" t="str">
        <f>IF(ISNA(VLOOKUP(Tableau13[[#This Row],[Code]],'Code Véhicule'!$A$4:$C$185,3,0)),"",VLOOKUP(Tableau13[[#This Row],[Code]],'Code Véhicule'!$A$4:$C$185,3,0))</f>
        <v>ISUZU</v>
      </c>
      <c r="E1290" s="159" t="str">
        <f>IF(ISNA(VLOOKUP(Tableau13[[#This Row],[Code]],'Code Véhicule'!$A$4:$D$185,4,0))," ",VLOOKUP(Tableau13[[#This Row],[Code]],'Code Véhicule'!$A$4:$D$185,4,0))</f>
        <v>26128-A-8</v>
      </c>
      <c r="F1290" s="159"/>
      <c r="G1290" s="190" t="s">
        <v>2396</v>
      </c>
      <c r="H1290" s="38" t="s">
        <v>2472</v>
      </c>
      <c r="I1290" s="194" t="s">
        <v>304</v>
      </c>
      <c r="J1290" s="189" t="s">
        <v>2499</v>
      </c>
      <c r="K1290" s="159">
        <v>5661</v>
      </c>
      <c r="L1290" s="166">
        <v>180</v>
      </c>
      <c r="M1290" s="166">
        <v>180</v>
      </c>
      <c r="N1290" s="167">
        <v>45352</v>
      </c>
      <c r="O1290" s="168"/>
      <c r="P1290" s="168"/>
      <c r="Q1290" s="159" t="e">
        <f>MONTH([1]!Tableau13[[#This Row],[Date début]])</f>
        <v>#REF!</v>
      </c>
      <c r="R1290" s="161" t="e">
        <f>YEAR([1]!Tableau13[[#This Row],[Date début]])</f>
        <v>#REF!</v>
      </c>
    </row>
    <row r="1291" spans="1:18" ht="30">
      <c r="A1291" s="158">
        <v>45352</v>
      </c>
      <c r="B1291" s="159">
        <v>413</v>
      </c>
      <c r="C1291" s="160" t="str">
        <f>IF(ISNA(VLOOKUP(Tableau13[[#This Row],[Code]],'Code Véhicule'!$A$4:$C$185,2,0)),"",VLOOKUP(Tableau13[[#This Row],[Code]],'Code Véhicule'!$A$4:$C$185,2,0))</f>
        <v>Chargeur</v>
      </c>
      <c r="D1291" s="161" t="str">
        <f>IF(ISNA(VLOOKUP(Tableau13[[#This Row],[Code]],'Code Véhicule'!$A$4:$C$185,3,0)),"",VLOOKUP(Tableau13[[#This Row],[Code]],'Code Véhicule'!$A$4:$C$185,3,0))</f>
        <v>Caterpillar</v>
      </c>
      <c r="E1291" s="159" t="str">
        <f>IF(ISNA(VLOOKUP(Tableau13[[#This Row],[Code]],'Code Véhicule'!$A$4:$D$185,4,0))," ",VLOOKUP(Tableau13[[#This Row],[Code]],'Code Véhicule'!$A$4:$D$185,4,0))</f>
        <v>-</v>
      </c>
      <c r="F1291" s="159"/>
      <c r="G1291" s="190" t="s">
        <v>2396</v>
      </c>
      <c r="H1291" s="38" t="s">
        <v>2215</v>
      </c>
      <c r="I1291" s="194" t="s">
        <v>304</v>
      </c>
      <c r="J1291" s="189" t="s">
        <v>2500</v>
      </c>
      <c r="K1291" s="159">
        <v>5697</v>
      </c>
      <c r="L1291" s="166">
        <v>3240</v>
      </c>
      <c r="M1291" s="166">
        <v>7020</v>
      </c>
      <c r="N1291" s="167">
        <v>45366</v>
      </c>
      <c r="O1291" s="168"/>
      <c r="P1291" s="168"/>
      <c r="Q1291" s="159" t="e">
        <f>MONTH([1]!Tableau13[[#This Row],[Date début]])</f>
        <v>#REF!</v>
      </c>
      <c r="R1291" s="161" t="e">
        <f>YEAR([1]!Tableau13[[#This Row],[Date début]])</f>
        <v>#REF!</v>
      </c>
    </row>
    <row r="1292" spans="1:18" ht="53.25" customHeight="1">
      <c r="A1292" s="192">
        <v>45352</v>
      </c>
      <c r="B1292" s="159">
        <v>439</v>
      </c>
      <c r="C1292" s="160" t="str">
        <f>IF(ISNA(VLOOKUP(Tableau13[[#This Row],[Code]],'Code Véhicule'!$A$4:$C$185,2,0)),"",VLOOKUP(Tableau13[[#This Row],[Code]],'Code Véhicule'!$A$4:$C$185,2,0))</f>
        <v>Semi remorque</v>
      </c>
      <c r="D1292" s="161" t="str">
        <f>IF(ISNA(VLOOKUP(Tableau13[[#This Row],[Code]],'Code Véhicule'!$A$4:$C$185,3,0)),"",VLOOKUP(Tableau13[[#This Row],[Code]],'Code Véhicule'!$A$4:$C$185,3,0))</f>
        <v>VOLVO</v>
      </c>
      <c r="E1292" s="159" t="str">
        <f>IF(ISNA(VLOOKUP(Tableau13[[#This Row],[Code]],'Code Véhicule'!$A$4:$D$185,4,0))," ",VLOOKUP(Tableau13[[#This Row],[Code]],'Code Véhicule'!$A$4:$D$185,4,0))</f>
        <v xml:space="preserve">17886-A-73 </v>
      </c>
      <c r="F1292" s="159"/>
      <c r="G1292" s="190" t="s">
        <v>2396</v>
      </c>
      <c r="H1292" s="38" t="s">
        <v>2392</v>
      </c>
      <c r="I1292" s="194" t="s">
        <v>302</v>
      </c>
      <c r="J1292" s="189" t="s">
        <v>2498</v>
      </c>
      <c r="K1292" s="159">
        <v>5651</v>
      </c>
      <c r="L1292" s="166">
        <v>120</v>
      </c>
      <c r="M1292" s="166">
        <v>120</v>
      </c>
      <c r="N1292" s="167">
        <v>45352</v>
      </c>
      <c r="O1292" s="168"/>
      <c r="P1292" s="168"/>
      <c r="Q1292" s="159" t="e">
        <f>MONTH([1]!Tableau13[[#This Row],[Date début]])</f>
        <v>#REF!</v>
      </c>
      <c r="R1292" s="161" t="e">
        <f>YEAR([1]!Tableau13[[#This Row],[Date début]])</f>
        <v>#REF!</v>
      </c>
    </row>
    <row r="1293" spans="1:18" ht="30">
      <c r="A1293" s="158">
        <v>45356</v>
      </c>
      <c r="B1293" s="159">
        <v>477</v>
      </c>
      <c r="C1293" s="160" t="str">
        <f>IF(ISNA(VLOOKUP(Tableau13[[#This Row],[Code]],'Code Véhicule'!$A$4:$C$185,2,0)),"",VLOOKUP(Tableau13[[#This Row],[Code]],'Code Véhicule'!$A$4:$C$185,2,0))</f>
        <v>Chariot elevateur</v>
      </c>
      <c r="D1293" s="161" t="str">
        <f>IF(ISNA(VLOOKUP(Tableau13[[#This Row],[Code]],'Code Véhicule'!$A$4:$C$185,3,0)),"",VLOOKUP(Tableau13[[#This Row],[Code]],'Code Véhicule'!$A$4:$C$185,3,0))</f>
        <v>Linde H30D</v>
      </c>
      <c r="E1293" s="159" t="str">
        <f>IF(ISNA(VLOOKUP(Tableau13[[#This Row],[Code]],'Code Véhicule'!$A$4:$D$185,4,0))," ",VLOOKUP(Tableau13[[#This Row],[Code]],'Code Véhicule'!$A$4:$D$185,4,0))</f>
        <v>-</v>
      </c>
      <c r="F1293" s="159"/>
      <c r="G1293" s="190" t="s">
        <v>2396</v>
      </c>
      <c r="H1293" s="190" t="s">
        <v>2502</v>
      </c>
      <c r="I1293" s="194" t="s">
        <v>304</v>
      </c>
      <c r="J1293" s="189" t="s">
        <v>2501</v>
      </c>
      <c r="K1293" s="159">
        <v>5762</v>
      </c>
      <c r="L1293" s="166">
        <v>540</v>
      </c>
      <c r="M1293" s="166">
        <v>540</v>
      </c>
      <c r="N1293" s="167">
        <v>45357</v>
      </c>
      <c r="O1293" s="168"/>
      <c r="P1293" s="168"/>
      <c r="Q1293" s="159" t="e">
        <f>MONTH([1]!Tableau13[[#This Row],[Date début]])</f>
        <v>#REF!</v>
      </c>
      <c r="R1293" s="161" t="e">
        <f>YEAR([1]!Tableau13[[#This Row],[Date début]])</f>
        <v>#REF!</v>
      </c>
    </row>
    <row r="1294" spans="1:18">
      <c r="A1294" s="158">
        <v>45356</v>
      </c>
      <c r="B1294" s="159">
        <v>481</v>
      </c>
      <c r="C1294" s="160" t="str">
        <f>IF(ISNA(VLOOKUP(Tableau13[[#This Row],[Code]],'Code Véhicule'!$A$4:$C$185,2,0)),"",VLOOKUP(Tableau13[[#This Row],[Code]],'Code Véhicule'!$A$4:$C$185,2,0))</f>
        <v>Camion</v>
      </c>
      <c r="D1294" s="161" t="str">
        <f>IF(ISNA(VLOOKUP(Tableau13[[#This Row],[Code]],'Code Véhicule'!$A$4:$C$185,3,0)),"",VLOOKUP(Tableau13[[#This Row],[Code]],'Code Véhicule'!$A$4:$C$185,3,0))</f>
        <v>VOLVO</v>
      </c>
      <c r="E1294" s="159" t="str">
        <f>IF(ISNA(VLOOKUP(Tableau13[[#This Row],[Code]],'Code Véhicule'!$A$4:$D$185,4,0))," ",VLOOKUP(Tableau13[[#This Row],[Code]],'Code Véhicule'!$A$4:$D$185,4,0))</f>
        <v>22300-A-73</v>
      </c>
      <c r="F1294" s="159"/>
      <c r="G1294" s="190" t="s">
        <v>525</v>
      </c>
      <c r="H1294" s="38" t="s">
        <v>560</v>
      </c>
      <c r="I1294" s="194" t="s">
        <v>304</v>
      </c>
      <c r="J1294" s="189" t="s">
        <v>2503</v>
      </c>
      <c r="K1294" s="159">
        <v>5769</v>
      </c>
      <c r="L1294" s="166">
        <v>120</v>
      </c>
      <c r="M1294" s="166">
        <v>120</v>
      </c>
      <c r="N1294" s="167">
        <v>45356</v>
      </c>
      <c r="O1294" s="168"/>
      <c r="P1294" s="168"/>
      <c r="Q1294" s="159" t="e">
        <f>MONTH([1]!Tableau13[[#This Row],[Date début]])</f>
        <v>#REF!</v>
      </c>
      <c r="R1294" s="161" t="e">
        <f>YEAR([1]!Tableau13[[#This Row],[Date début]])</f>
        <v>#REF!</v>
      </c>
    </row>
    <row r="1295" spans="1:18" ht="30">
      <c r="A1295" s="158">
        <v>45359</v>
      </c>
      <c r="B1295" s="159">
        <v>434</v>
      </c>
      <c r="C1295" s="160" t="str">
        <f>IF(ISNA(VLOOKUP(Tableau13[[#This Row],[Code]],'Code Véhicule'!$A$4:$C$185,2,0)),"",VLOOKUP(Tableau13[[#This Row],[Code]],'Code Véhicule'!$A$4:$C$185,2,0))</f>
        <v>Chariot elevateur</v>
      </c>
      <c r="D1295" s="161" t="str">
        <f>IF(ISNA(VLOOKUP(Tableau13[[#This Row],[Code]],'Code Véhicule'!$A$4:$C$185,3,0)),"",VLOOKUP(Tableau13[[#This Row],[Code]],'Code Véhicule'!$A$4:$C$185,3,0))</f>
        <v>Linde H30D</v>
      </c>
      <c r="E1295" s="159" t="str">
        <f>IF(ISNA(VLOOKUP(Tableau13[[#This Row],[Code]],'Code Véhicule'!$A$4:$D$185,4,0))," ",VLOOKUP(Tableau13[[#This Row],[Code]],'Code Véhicule'!$A$4:$D$185,4,0))</f>
        <v>-</v>
      </c>
      <c r="F1295" s="159"/>
      <c r="G1295" s="190" t="s">
        <v>525</v>
      </c>
      <c r="H1295" s="38" t="s">
        <v>2446</v>
      </c>
      <c r="I1295" s="194" t="s">
        <v>304</v>
      </c>
      <c r="J1295" s="189" t="s">
        <v>2504</v>
      </c>
      <c r="K1295" s="159">
        <v>5867</v>
      </c>
      <c r="L1295" s="166">
        <v>120</v>
      </c>
      <c r="M1295" s="166">
        <v>120</v>
      </c>
      <c r="N1295" s="167">
        <v>45359</v>
      </c>
      <c r="O1295" s="168"/>
      <c r="P1295" s="168"/>
      <c r="Q1295" s="159" t="e">
        <f>MONTH([1]!Tableau13[[#This Row],[Date début]])</f>
        <v>#REF!</v>
      </c>
      <c r="R1295" s="161" t="e">
        <f>YEAR([1]!Tableau13[[#This Row],[Date début]])</f>
        <v>#REF!</v>
      </c>
    </row>
    <row r="1296" spans="1:18" ht="30">
      <c r="A1296" s="192">
        <v>45363</v>
      </c>
      <c r="B1296" s="159">
        <v>482</v>
      </c>
      <c r="C1296" s="160" t="str">
        <f>IF(ISNA(VLOOKUP(Tableau13[[#This Row],[Code]],'Code Véhicule'!$A$4:$C$185,2,0)),"",VLOOKUP(Tableau13[[#This Row],[Code]],'Code Véhicule'!$A$4:$C$185,2,0))</f>
        <v>Pick up</v>
      </c>
      <c r="D1296" s="161" t="str">
        <f>IF(ISNA(VLOOKUP(Tableau13[[#This Row],[Code]],'Code Véhicule'!$A$4:$C$185,3,0)),"",VLOOKUP(Tableau13[[#This Row],[Code]],'Code Véhicule'!$A$4:$C$185,3,0))</f>
        <v>HYUNDAI H100</v>
      </c>
      <c r="E1296" s="159" t="str">
        <f>IF(ISNA(VLOOKUP(Tableau13[[#This Row],[Code]],'Code Véhicule'!$A$4:$D$185,4,0))," ",VLOOKUP(Tableau13[[#This Row],[Code]],'Code Véhicule'!$A$4:$D$185,4,0))</f>
        <v>22368-A-73</v>
      </c>
      <c r="F1296" s="159"/>
      <c r="G1296" s="190" t="s">
        <v>525</v>
      </c>
      <c r="H1296" s="38" t="s">
        <v>1008</v>
      </c>
      <c r="I1296" s="194" t="s">
        <v>304</v>
      </c>
      <c r="J1296" s="189" t="s">
        <v>2505</v>
      </c>
      <c r="K1296" s="159">
        <v>5975</v>
      </c>
      <c r="L1296" s="166">
        <v>240</v>
      </c>
      <c r="M1296" s="166">
        <v>240</v>
      </c>
      <c r="N1296" s="167">
        <v>45363</v>
      </c>
      <c r="O1296" s="168"/>
      <c r="P1296" s="168"/>
      <c r="Q1296" s="159" t="e">
        <f>MONTH([1]!Tableau13[[#This Row],[Date début]])</f>
        <v>#REF!</v>
      </c>
      <c r="R1296" s="161" t="e">
        <f>YEAR([1]!Tableau13[[#This Row],[Date début]])</f>
        <v>#REF!</v>
      </c>
    </row>
    <row r="1297" spans="1:18">
      <c r="A1297" s="158">
        <v>45364</v>
      </c>
      <c r="B1297" s="159">
        <v>439</v>
      </c>
      <c r="C1297" s="160" t="str">
        <f>IF(ISNA(VLOOKUP(Tableau13[[#This Row],[Code]],'Code Véhicule'!$A$4:$C$185,2,0)),"",VLOOKUP(Tableau13[[#This Row],[Code]],'Code Véhicule'!$A$4:$C$185,2,0))</f>
        <v>Semi remorque</v>
      </c>
      <c r="D1297" s="161" t="str">
        <f>IF(ISNA(VLOOKUP(Tableau13[[#This Row],[Code]],'Code Véhicule'!$A$4:$C$185,3,0)),"",VLOOKUP(Tableau13[[#This Row],[Code]],'Code Véhicule'!$A$4:$C$185,3,0))</f>
        <v>VOLVO</v>
      </c>
      <c r="E1297" s="159" t="str">
        <f>IF(ISNA(VLOOKUP(Tableau13[[#This Row],[Code]],'Code Véhicule'!$A$4:$D$185,4,0))," ",VLOOKUP(Tableau13[[#This Row],[Code]],'Code Véhicule'!$A$4:$D$185,4,0))</f>
        <v xml:space="preserve">17886-A-73 </v>
      </c>
      <c r="F1297" s="159"/>
      <c r="G1297" s="190" t="s">
        <v>525</v>
      </c>
      <c r="H1297" s="38" t="s">
        <v>560</v>
      </c>
      <c r="I1297" s="194" t="s">
        <v>304</v>
      </c>
      <c r="J1297" s="189" t="s">
        <v>2506</v>
      </c>
      <c r="K1297" s="159">
        <v>6013</v>
      </c>
      <c r="L1297" s="166">
        <v>60</v>
      </c>
      <c r="M1297" s="166">
        <v>60</v>
      </c>
      <c r="N1297" s="193">
        <v>45364</v>
      </c>
      <c r="O1297" s="168"/>
      <c r="P1297" s="168"/>
      <c r="Q1297" s="159" t="e">
        <f>MONTH([1]!Tableau13[[#This Row],[Date début]])</f>
        <v>#REF!</v>
      </c>
      <c r="R1297" s="161" t="e">
        <f>YEAR([1]!Tableau13[[#This Row],[Date début]])</f>
        <v>#REF!</v>
      </c>
    </row>
    <row r="1298" spans="1:18" ht="45">
      <c r="A1298" s="158">
        <v>45366</v>
      </c>
      <c r="B1298" s="159">
        <v>480</v>
      </c>
      <c r="C1298" s="160" t="str">
        <f>IF(ISNA(VLOOKUP(Tableau13[[#This Row],[Code]],'Code Véhicule'!$A$4:$C$185,2,0)),"",VLOOKUP(Tableau13[[#This Row],[Code]],'Code Véhicule'!$A$4:$C$185,2,0))</f>
        <v>Camion</v>
      </c>
      <c r="D1298" s="161" t="str">
        <f>IF(ISNA(VLOOKUP(Tableau13[[#This Row],[Code]],'Code Véhicule'!$A$4:$C$185,3,0)),"",VLOOKUP(Tableau13[[#This Row],[Code]],'Code Véhicule'!$A$4:$C$185,3,0))</f>
        <v>VOLVO</v>
      </c>
      <c r="E1298" s="159" t="str">
        <f>IF(ISNA(VLOOKUP(Tableau13[[#This Row],[Code]],'Code Véhicule'!$A$4:$D$185,4,0))," ",VLOOKUP(Tableau13[[#This Row],[Code]],'Code Véhicule'!$A$4:$D$185,4,0))</f>
        <v>22299-A-73</v>
      </c>
      <c r="F1298" s="159"/>
      <c r="G1298" s="190" t="s">
        <v>2396</v>
      </c>
      <c r="H1298" s="38" t="s">
        <v>2392</v>
      </c>
      <c r="I1298" s="194" t="s">
        <v>302</v>
      </c>
      <c r="J1298" s="189" t="s">
        <v>2507</v>
      </c>
      <c r="K1298" s="159">
        <v>6064</v>
      </c>
      <c r="L1298" s="166">
        <v>120</v>
      </c>
      <c r="M1298" s="166">
        <v>120</v>
      </c>
      <c r="N1298" s="167">
        <v>45366</v>
      </c>
      <c r="O1298" s="168"/>
      <c r="P1298" s="168"/>
      <c r="Q1298" s="159" t="e">
        <f>MONTH([1]!Tableau13[[#This Row],[Date début]])</f>
        <v>#REF!</v>
      </c>
      <c r="R1298" s="161" t="e">
        <f>YEAR([1]!Tableau13[[#This Row],[Date début]])</f>
        <v>#REF!</v>
      </c>
    </row>
    <row r="1299" spans="1:18">
      <c r="A1299" s="158">
        <v>45366</v>
      </c>
      <c r="B1299" s="159">
        <v>439</v>
      </c>
      <c r="C1299" s="160" t="str">
        <f>IF(ISNA(VLOOKUP(Tableau13[[#This Row],[Code]],'Code Véhicule'!$A$4:$C$185,2,0)),"",VLOOKUP(Tableau13[[#This Row],[Code]],'Code Véhicule'!$A$4:$C$185,2,0))</f>
        <v>Semi remorque</v>
      </c>
      <c r="D1299" s="161" t="str">
        <f>IF(ISNA(VLOOKUP(Tableau13[[#This Row],[Code]],'Code Véhicule'!$A$4:$C$185,3,0)),"",VLOOKUP(Tableau13[[#This Row],[Code]],'Code Véhicule'!$A$4:$C$185,3,0))</f>
        <v>VOLVO</v>
      </c>
      <c r="E1299" s="159" t="str">
        <f>IF(ISNA(VLOOKUP(Tableau13[[#This Row],[Code]],'Code Véhicule'!$A$4:$D$185,4,0))," ",VLOOKUP(Tableau13[[#This Row],[Code]],'Code Véhicule'!$A$4:$D$185,4,0))</f>
        <v xml:space="preserve">17886-A-73 </v>
      </c>
      <c r="F1299" s="159"/>
      <c r="G1299" s="190" t="s">
        <v>525</v>
      </c>
      <c r="H1299" s="38" t="s">
        <v>560</v>
      </c>
      <c r="I1299" s="194" t="s">
        <v>304</v>
      </c>
      <c r="J1299" s="189" t="s">
        <v>2506</v>
      </c>
      <c r="K1299" s="159">
        <v>6075</v>
      </c>
      <c r="L1299" s="166">
        <v>120</v>
      </c>
      <c r="M1299" s="166">
        <v>120</v>
      </c>
      <c r="N1299" s="167">
        <v>45366</v>
      </c>
      <c r="O1299" s="168"/>
      <c r="P1299" s="168"/>
      <c r="Q1299" s="159" t="e">
        <f>MONTH([1]!Tableau13[[#This Row],[Date début]])</f>
        <v>#REF!</v>
      </c>
      <c r="R1299" s="161" t="e">
        <f>YEAR([1]!Tableau13[[#This Row],[Date début]])</f>
        <v>#REF!</v>
      </c>
    </row>
    <row r="1300" spans="1:18" ht="30">
      <c r="A1300" s="158">
        <v>45369</v>
      </c>
      <c r="B1300" s="159">
        <v>436</v>
      </c>
      <c r="C1300" s="160" t="str">
        <f>IF(ISNA(VLOOKUP(Tableau13[[#This Row],[Code]],'Code Véhicule'!$A$4:$C$185,2,0)),"",VLOOKUP(Tableau13[[#This Row],[Code]],'Code Véhicule'!$A$4:$C$185,2,0))</f>
        <v>Camion</v>
      </c>
      <c r="D1300" s="161" t="str">
        <f>IF(ISNA(VLOOKUP(Tableau13[[#This Row],[Code]],'Code Véhicule'!$A$4:$C$185,3,0)),"",VLOOKUP(Tableau13[[#This Row],[Code]],'Code Véhicule'!$A$4:$C$185,3,0))</f>
        <v>Mitsubishi</v>
      </c>
      <c r="E1300" s="159" t="str">
        <f>IF(ISNA(VLOOKUP(Tableau13[[#This Row],[Code]],'Code Véhicule'!$A$4:$D$185,4,0))," ",VLOOKUP(Tableau13[[#This Row],[Code]],'Code Véhicule'!$A$4:$D$185,4,0))</f>
        <v>11470-A-73</v>
      </c>
      <c r="F1300" s="159"/>
      <c r="G1300" s="162" t="s">
        <v>2396</v>
      </c>
      <c r="H1300" s="163" t="s">
        <v>610</v>
      </c>
      <c r="I1300" s="164" t="s">
        <v>304</v>
      </c>
      <c r="J1300" s="165" t="s">
        <v>2513</v>
      </c>
      <c r="K1300" s="159">
        <v>6211</v>
      </c>
      <c r="L1300" s="166">
        <v>3240</v>
      </c>
      <c r="M1300" s="166">
        <v>3240</v>
      </c>
      <c r="N1300" s="167">
        <v>45375</v>
      </c>
      <c r="O1300" s="168"/>
      <c r="P1300" s="168"/>
      <c r="Q1300" s="159" t="e">
        <f>MONTH([1]!Tableau13[[#This Row],[Date début]])</f>
        <v>#REF!</v>
      </c>
      <c r="R1300" s="161" t="e">
        <f>YEAR([1]!Tableau13[[#This Row],[Date début]])</f>
        <v>#REF!</v>
      </c>
    </row>
    <row r="1301" spans="1:18" ht="30">
      <c r="A1301" s="158">
        <v>45369</v>
      </c>
      <c r="B1301" s="159">
        <v>410</v>
      </c>
      <c r="C1301" s="160" t="str">
        <f>IF(ISNA(VLOOKUP(Tableau13[[#This Row],[Code]],'Code Véhicule'!$A$4:$C$185,2,0)),"",VLOOKUP(Tableau13[[#This Row],[Code]],'Code Véhicule'!$A$4:$C$185,2,0))</f>
        <v>Semi remorque</v>
      </c>
      <c r="D1301" s="161" t="str">
        <f>IF(ISNA(VLOOKUP(Tableau13[[#This Row],[Code]],'Code Véhicule'!$A$4:$C$185,3,0)),"",VLOOKUP(Tableau13[[#This Row],[Code]],'Code Véhicule'!$A$4:$C$185,3,0))</f>
        <v>MAN</v>
      </c>
      <c r="E1301" s="159" t="str">
        <f>IF(ISNA(VLOOKUP(Tableau13[[#This Row],[Code]],'Code Véhicule'!$A$4:$D$185,4,0))," ",VLOOKUP(Tableau13[[#This Row],[Code]],'Code Véhicule'!$A$4:$D$185,4,0))</f>
        <v xml:space="preserve">28659-D-1 </v>
      </c>
      <c r="F1301" s="159"/>
      <c r="G1301" s="162" t="s">
        <v>2396</v>
      </c>
      <c r="H1301" s="163" t="s">
        <v>2516</v>
      </c>
      <c r="I1301" s="164" t="s">
        <v>304</v>
      </c>
      <c r="J1301" s="165" t="s">
        <v>758</v>
      </c>
      <c r="K1301" s="159">
        <v>6215</v>
      </c>
      <c r="L1301" s="166">
        <v>1620</v>
      </c>
      <c r="M1301" s="166">
        <v>2700</v>
      </c>
      <c r="N1301" s="167">
        <v>45374</v>
      </c>
      <c r="O1301" s="168"/>
      <c r="P1301" s="168"/>
      <c r="Q1301" s="159"/>
      <c r="R1301" s="161"/>
    </row>
    <row r="1302" spans="1:18" ht="30">
      <c r="A1302" s="158">
        <v>45370</v>
      </c>
      <c r="B1302" s="159">
        <v>426</v>
      </c>
      <c r="C1302" s="160" t="str">
        <f>IF(ISNA(VLOOKUP(Tableau13[[#This Row],[Code]],'Code Véhicule'!$A$4:$C$185,2,0)),"",VLOOKUP(Tableau13[[#This Row],[Code]],'Code Véhicule'!$A$4:$C$185,2,0))</f>
        <v>Chariot elevateur</v>
      </c>
      <c r="D1302" s="161" t="str">
        <f>IF(ISNA(VLOOKUP(Tableau13[[#This Row],[Code]],'Code Véhicule'!$A$4:$C$185,3,0)),"",VLOOKUP(Tableau13[[#This Row],[Code]],'Code Véhicule'!$A$4:$C$185,3,0))</f>
        <v>Manitou MC 30</v>
      </c>
      <c r="E1302" s="159" t="str">
        <f>IF(ISNA(VLOOKUP(Tableau13[[#This Row],[Code]],'Code Véhicule'!$A$4:$D$185,4,0))," ",VLOOKUP(Tableau13[[#This Row],[Code]],'Code Véhicule'!$A$4:$D$185,4,0))</f>
        <v>-</v>
      </c>
      <c r="F1302" s="159"/>
      <c r="G1302" s="162" t="s">
        <v>2396</v>
      </c>
      <c r="H1302" s="163" t="s">
        <v>2508</v>
      </c>
      <c r="I1302" s="164" t="s">
        <v>304</v>
      </c>
      <c r="J1302" s="165" t="s">
        <v>2509</v>
      </c>
      <c r="K1302" s="159" t="s">
        <v>2510</v>
      </c>
      <c r="L1302" s="166">
        <v>2160</v>
      </c>
      <c r="M1302" s="166">
        <v>3240</v>
      </c>
      <c r="N1302" s="167">
        <v>45376</v>
      </c>
      <c r="O1302" s="168"/>
      <c r="P1302" s="168"/>
      <c r="Q1302" s="159" t="e">
        <f>MONTH([1]!Tableau13[[#This Row],[Date début]])</f>
        <v>#REF!</v>
      </c>
      <c r="R1302" s="161" t="e">
        <f>YEAR([1]!Tableau13[[#This Row],[Date début]])</f>
        <v>#REF!</v>
      </c>
    </row>
    <row r="1303" spans="1:18" ht="30">
      <c r="A1303" s="158">
        <v>45370</v>
      </c>
      <c r="B1303" s="159">
        <v>472</v>
      </c>
      <c r="C1303" s="160" t="str">
        <f>IF(ISNA(VLOOKUP(Tableau13[[#This Row],[Code]],'Code Véhicule'!$A$4:$C$185,2,0)),"",VLOOKUP(Tableau13[[#This Row],[Code]],'Code Véhicule'!$A$4:$C$185,2,0))</f>
        <v>Chariot elevateur</v>
      </c>
      <c r="D1303" s="161" t="str">
        <f>IF(ISNA(VLOOKUP(Tableau13[[#This Row],[Code]],'Code Véhicule'!$A$4:$C$185,3,0)),"",VLOOKUP(Tableau13[[#This Row],[Code]],'Code Véhicule'!$A$4:$C$185,3,0))</f>
        <v>Linde H25d</v>
      </c>
      <c r="E1303" s="159" t="str">
        <f>IF(ISNA(VLOOKUP(Tableau13[[#This Row],[Code]],'Code Véhicule'!$A$4:$D$185,4,0))," ",VLOOKUP(Tableau13[[#This Row],[Code]],'Code Véhicule'!$A$4:$D$185,4,0))</f>
        <v>-</v>
      </c>
      <c r="F1303" s="159"/>
      <c r="G1303" s="162" t="s">
        <v>2396</v>
      </c>
      <c r="H1303" s="163" t="s">
        <v>2300</v>
      </c>
      <c r="I1303" s="164" t="s">
        <v>304</v>
      </c>
      <c r="J1303" s="165" t="s">
        <v>2511</v>
      </c>
      <c r="K1303" s="159" t="s">
        <v>2512</v>
      </c>
      <c r="L1303" s="166">
        <v>540</v>
      </c>
      <c r="M1303" s="166">
        <v>1080</v>
      </c>
      <c r="N1303" s="167">
        <v>45371</v>
      </c>
      <c r="O1303" s="168"/>
      <c r="P1303" s="168"/>
      <c r="Q1303" s="159" t="e">
        <f>MONTH([1]!Tableau13[[#This Row],[Date début]])</f>
        <v>#REF!</v>
      </c>
      <c r="R1303" s="161" t="e">
        <f>YEAR([1]!Tableau13[[#This Row],[Date début]])</f>
        <v>#REF!</v>
      </c>
    </row>
    <row r="1304" spans="1:18">
      <c r="A1304" s="158">
        <v>45370</v>
      </c>
      <c r="B1304" s="159">
        <v>426</v>
      </c>
      <c r="C1304" s="160" t="str">
        <f>IF(ISNA(VLOOKUP(Tableau13[[#This Row],[Code]],'Code Véhicule'!$A$4:$C$185,2,0)),"",VLOOKUP(Tableau13[[#This Row],[Code]],'Code Véhicule'!$A$4:$C$185,2,0))</f>
        <v>Chariot elevateur</v>
      </c>
      <c r="D1304" s="161" t="str">
        <f>IF(ISNA(VLOOKUP(Tableau13[[#This Row],[Code]],'Code Véhicule'!$A$4:$C$185,3,0)),"",VLOOKUP(Tableau13[[#This Row],[Code]],'Code Véhicule'!$A$4:$C$185,3,0))</f>
        <v>Manitou MC 30</v>
      </c>
      <c r="E1304" s="159"/>
      <c r="F1304" s="159"/>
      <c r="G1304" s="162" t="s">
        <v>2396</v>
      </c>
      <c r="H1304" s="163" t="s">
        <v>661</v>
      </c>
      <c r="I1304" s="164" t="s">
        <v>304</v>
      </c>
      <c r="J1304" s="165" t="s">
        <v>2528</v>
      </c>
      <c r="K1304" s="159">
        <v>6144</v>
      </c>
      <c r="L1304" s="166">
        <v>360</v>
      </c>
      <c r="M1304" s="166">
        <v>360</v>
      </c>
      <c r="N1304" s="167">
        <v>45370</v>
      </c>
      <c r="O1304" s="168"/>
      <c r="P1304" s="168"/>
      <c r="Q1304" s="159"/>
      <c r="R1304" s="161"/>
    </row>
    <row r="1305" spans="1:18" ht="30">
      <c r="A1305" s="158">
        <v>45372</v>
      </c>
      <c r="B1305" s="159">
        <v>438</v>
      </c>
      <c r="C1305" s="160" t="str">
        <f>IF(ISNA(VLOOKUP(Tableau13[[#This Row],[Code]],'Code Véhicule'!$A$4:$C$185,2,0)),"",VLOOKUP(Tableau13[[#This Row],[Code]],'Code Véhicule'!$A$4:$C$185,2,0))</f>
        <v>Semi remorque</v>
      </c>
      <c r="D1305" s="161" t="str">
        <f>IF(ISNA(VLOOKUP(Tableau13[[#This Row],[Code]],'Code Véhicule'!$A$4:$C$185,3,0)),"",VLOOKUP(Tableau13[[#This Row],[Code]],'Code Véhicule'!$A$4:$C$185,3,0))</f>
        <v>VOLVO</v>
      </c>
      <c r="E1305" s="159" t="str">
        <f>IF(ISNA(VLOOKUP(Tableau13[[#This Row],[Code]],'Code Véhicule'!$A$4:$D$185,4,0))," ",VLOOKUP(Tableau13[[#This Row],[Code]],'Code Véhicule'!$A$4:$D$185,4,0))</f>
        <v xml:space="preserve">17885-A-73 </v>
      </c>
      <c r="F1305" s="159"/>
      <c r="G1305" s="162" t="s">
        <v>2396</v>
      </c>
      <c r="H1305" s="163" t="s">
        <v>353</v>
      </c>
      <c r="I1305" s="164" t="s">
        <v>304</v>
      </c>
      <c r="J1305" s="165" t="s">
        <v>2514</v>
      </c>
      <c r="K1305" s="159">
        <v>6212</v>
      </c>
      <c r="L1305" s="166">
        <v>1080</v>
      </c>
      <c r="M1305" s="166">
        <v>1080</v>
      </c>
      <c r="N1305" s="167">
        <v>45373</v>
      </c>
      <c r="O1305" s="168"/>
      <c r="P1305" s="168"/>
      <c r="Q1305" s="159" t="e">
        <f>MONTH([1]!Tableau13[[#This Row],[Date début]])</f>
        <v>#REF!</v>
      </c>
      <c r="R1305" s="161" t="e">
        <f>YEAR([1]!Tableau13[[#This Row],[Date début]])</f>
        <v>#REF!</v>
      </c>
    </row>
    <row r="1306" spans="1:18">
      <c r="A1306" s="158">
        <v>45372</v>
      </c>
      <c r="B1306" s="159">
        <v>482</v>
      </c>
      <c r="C1306" s="160" t="str">
        <f>IF(ISNA(VLOOKUP(Tableau13[[#This Row],[Code]],'Code Véhicule'!$A$4:$C$185,2,0)),"",VLOOKUP(Tableau13[[#This Row],[Code]],'Code Véhicule'!$A$4:$C$185,2,0))</f>
        <v>Pick up</v>
      </c>
      <c r="D1306" s="161" t="str">
        <f>IF(ISNA(VLOOKUP(Tableau13[[#This Row],[Code]],'Code Véhicule'!$A$4:$C$185,3,0)),"",VLOOKUP(Tableau13[[#This Row],[Code]],'Code Véhicule'!$A$4:$C$185,3,0))</f>
        <v>HYUNDAI H100</v>
      </c>
      <c r="E1306" s="159" t="str">
        <f>IF(ISNA(VLOOKUP(Tableau13[[#This Row],[Code]],'Code Véhicule'!$A$4:$D$185,4,0))," ",VLOOKUP(Tableau13[[#This Row],[Code]],'Code Véhicule'!$A$4:$D$185,4,0))</f>
        <v>22368-A-73</v>
      </c>
      <c r="F1306" s="159"/>
      <c r="G1306" s="162" t="s">
        <v>2396</v>
      </c>
      <c r="H1306" s="163" t="s">
        <v>353</v>
      </c>
      <c r="I1306" s="164" t="s">
        <v>304</v>
      </c>
      <c r="J1306" s="165" t="s">
        <v>2515</v>
      </c>
      <c r="K1306" s="159">
        <v>6213</v>
      </c>
      <c r="L1306" s="166">
        <v>120</v>
      </c>
      <c r="M1306" s="166">
        <v>120</v>
      </c>
      <c r="N1306" s="167">
        <v>45372</v>
      </c>
      <c r="O1306" s="168"/>
      <c r="P1306" s="168"/>
      <c r="Q1306" s="159" t="e">
        <f>MONTH([1]!Tableau13[[#This Row],[Date début]])</f>
        <v>#REF!</v>
      </c>
      <c r="R1306" s="161" t="e">
        <f>YEAR([1]!Tableau13[[#This Row],[Date début]])</f>
        <v>#REF!</v>
      </c>
    </row>
    <row r="1307" spans="1:18">
      <c r="A1307" s="158">
        <v>45374</v>
      </c>
      <c r="B1307" s="159">
        <v>471</v>
      </c>
      <c r="C1307" s="160" t="str">
        <f>IF(ISNA(VLOOKUP(Tableau13[[#This Row],[Code]],'Code Véhicule'!$A$4:$C$185,2,0)),"",VLOOKUP(Tableau13[[#This Row],[Code]],'Code Véhicule'!$A$4:$C$185,2,0))</f>
        <v>Bus de transport</v>
      </c>
      <c r="D1307" s="161" t="str">
        <f>IF(ISNA(VLOOKUP(Tableau13[[#This Row],[Code]],'Code Véhicule'!$A$4:$C$185,3,0)),"",VLOOKUP(Tableau13[[#This Row],[Code]],'Code Véhicule'!$A$4:$C$185,3,0))</f>
        <v xml:space="preserve">Hyundai County </v>
      </c>
      <c r="E1307" s="159" t="str">
        <f>IF(ISNA(VLOOKUP(Tableau13[[#This Row],[Code]],'Code Véhicule'!$A$4:$D$185,4,0))," ",VLOOKUP(Tableau13[[#This Row],[Code]],'Code Véhicule'!$A$4:$D$185,4,0))</f>
        <v>18516-A-73</v>
      </c>
      <c r="F1307" s="159"/>
      <c r="G1307" s="162" t="s">
        <v>2396</v>
      </c>
      <c r="H1307" s="163" t="s">
        <v>610</v>
      </c>
      <c r="I1307" s="164" t="s">
        <v>304</v>
      </c>
      <c r="J1307" s="165" t="s">
        <v>2517</v>
      </c>
      <c r="K1307" s="159">
        <v>6217</v>
      </c>
      <c r="L1307" s="166">
        <v>540</v>
      </c>
      <c r="M1307" s="166">
        <v>540</v>
      </c>
      <c r="N1307" s="167">
        <v>45374</v>
      </c>
      <c r="O1307" s="168"/>
      <c r="P1307" s="168"/>
      <c r="Q1307" s="159" t="e">
        <f>MONTH([1]!Tableau13[[#This Row],[Date début]])</f>
        <v>#REF!</v>
      </c>
      <c r="R1307" s="161" t="e">
        <f>YEAR([1]!Tableau13[[#This Row],[Date début]])</f>
        <v>#REF!</v>
      </c>
    </row>
    <row r="1308" spans="1:18" ht="30">
      <c r="A1308" s="158">
        <v>45374</v>
      </c>
      <c r="B1308" s="159">
        <v>419</v>
      </c>
      <c r="C1308" s="160" t="str">
        <f>IF(ISNA(VLOOKUP(Tableau13[[#This Row],[Code]],'Code Véhicule'!$A$4:$C$185,2,0)),"",VLOOKUP(Tableau13[[#This Row],[Code]],'Code Véhicule'!$A$4:$C$185,2,0))</f>
        <v>Voiture de fonction</v>
      </c>
      <c r="D1308" s="161" t="str">
        <f>IF(ISNA(VLOOKUP(Tableau13[[#This Row],[Code]],'Code Véhicule'!$A$4:$C$185,3,0)),"",VLOOKUP(Tableau13[[#This Row],[Code]],'Code Véhicule'!$A$4:$C$185,3,0))</f>
        <v>kangoo</v>
      </c>
      <c r="E1308" s="159" t="str">
        <f>IF(ISNA(VLOOKUP(Tableau13[[#This Row],[Code]],'Code Véhicule'!$A$4:$D$185,4,0))," ",VLOOKUP(Tableau13[[#This Row],[Code]],'Code Véhicule'!$A$4:$D$185,4,0))</f>
        <v>4812-A-73</v>
      </c>
      <c r="F1308" s="159"/>
      <c r="G1308" s="162" t="s">
        <v>2417</v>
      </c>
      <c r="H1308" s="163" t="s">
        <v>560</v>
      </c>
      <c r="I1308" s="164" t="s">
        <v>304</v>
      </c>
      <c r="J1308" s="165" t="s">
        <v>2521</v>
      </c>
      <c r="K1308" s="159">
        <v>6281</v>
      </c>
      <c r="L1308" s="166">
        <v>1080</v>
      </c>
      <c r="M1308" s="166">
        <v>1080</v>
      </c>
      <c r="N1308" s="167">
        <v>45374</v>
      </c>
      <c r="O1308" s="168"/>
      <c r="P1308" s="168"/>
      <c r="Q1308" s="159" t="e">
        <f>MONTH([1]!Tableau13[[#This Row],[Date début]])</f>
        <v>#REF!</v>
      </c>
      <c r="R1308" s="161" t="e">
        <f>YEAR([1]!Tableau13[[#This Row],[Date début]])</f>
        <v>#REF!</v>
      </c>
    </row>
    <row r="1309" spans="1:18">
      <c r="A1309" s="158">
        <v>45376</v>
      </c>
      <c r="B1309" s="159">
        <v>401</v>
      </c>
      <c r="C1309" s="160" t="str">
        <f>IF(ISNA(VLOOKUP(Tableau13[[#This Row],[Code]],'Code Véhicule'!$A$4:$C$185,2,0)),"",VLOOKUP(Tableau13[[#This Row],[Code]],'Code Véhicule'!$A$4:$C$185,2,0))</f>
        <v>Camion</v>
      </c>
      <c r="D1309" s="161" t="str">
        <f>IF(ISNA(VLOOKUP(Tableau13[[#This Row],[Code]],'Code Véhicule'!$A$4:$C$185,3,0)),"",VLOOKUP(Tableau13[[#This Row],[Code]],'Code Véhicule'!$A$4:$C$185,3,0))</f>
        <v>ISUZU</v>
      </c>
      <c r="E1309" s="159" t="str">
        <f>IF(ISNA(VLOOKUP(Tableau13[[#This Row],[Code]],'Code Véhicule'!$A$4:$D$185,4,0))," ",VLOOKUP(Tableau13[[#This Row],[Code]],'Code Véhicule'!$A$4:$D$185,4,0))</f>
        <v>26128-A-8</v>
      </c>
      <c r="F1309" s="159"/>
      <c r="G1309" s="162" t="s">
        <v>2396</v>
      </c>
      <c r="H1309" s="163" t="s">
        <v>1087</v>
      </c>
      <c r="I1309" s="164" t="s">
        <v>304</v>
      </c>
      <c r="J1309" s="165" t="s">
        <v>2518</v>
      </c>
      <c r="K1309" s="159">
        <v>6344</v>
      </c>
      <c r="L1309" s="166">
        <v>240</v>
      </c>
      <c r="M1309" s="166">
        <v>240</v>
      </c>
      <c r="N1309" s="167">
        <v>45376</v>
      </c>
      <c r="O1309" s="168"/>
      <c r="P1309" s="168"/>
      <c r="Q1309" s="159" t="e">
        <f>MONTH([1]!Tableau13[[#This Row],[Date début]])</f>
        <v>#REF!</v>
      </c>
      <c r="R1309" s="161" t="e">
        <f>YEAR([1]!Tableau13[[#This Row],[Date début]])</f>
        <v>#REF!</v>
      </c>
    </row>
    <row r="1310" spans="1:18" ht="45">
      <c r="A1310" s="158">
        <v>45377</v>
      </c>
      <c r="B1310" s="159">
        <v>433</v>
      </c>
      <c r="C1310" s="160" t="str">
        <f>IF(ISNA(VLOOKUP(Tableau13[[#This Row],[Code]],'Code Véhicule'!$A$4:$C$185,2,0)),"",VLOOKUP(Tableau13[[#This Row],[Code]],'Code Véhicule'!$A$4:$C$185,2,0))</f>
        <v>Voiture de fonction</v>
      </c>
      <c r="D1310" s="161" t="str">
        <f>IF(ISNA(VLOOKUP(Tableau13[[#This Row],[Code]],'Code Véhicule'!$A$4:$C$185,3,0)),"",VLOOKUP(Tableau13[[#This Row],[Code]],'Code Véhicule'!$A$4:$C$185,3,0))</f>
        <v>Berlingo</v>
      </c>
      <c r="E1310" s="159" t="str">
        <f>IF(ISNA(VLOOKUP(Tableau13[[#This Row],[Code]],'Code Véhicule'!$A$4:$D$185,4,0))," ",VLOOKUP(Tableau13[[#This Row],[Code]],'Code Véhicule'!$A$4:$D$185,4,0))</f>
        <v>10551-A-73</v>
      </c>
      <c r="F1310" s="159"/>
      <c r="G1310" s="162" t="s">
        <v>2396</v>
      </c>
      <c r="H1310" s="163" t="s">
        <v>2519</v>
      </c>
      <c r="I1310" s="164" t="s">
        <v>780</v>
      </c>
      <c r="J1310" s="165" t="s">
        <v>2520</v>
      </c>
      <c r="K1310" s="159">
        <v>6353</v>
      </c>
      <c r="L1310" s="166">
        <v>2160</v>
      </c>
      <c r="M1310" s="166">
        <v>2700</v>
      </c>
      <c r="N1310" s="167">
        <v>45382</v>
      </c>
      <c r="O1310" s="168"/>
      <c r="P1310" s="168"/>
      <c r="Q1310" s="159" t="e">
        <f>MONTH([1]!Tableau13[[#This Row],[Date début]])</f>
        <v>#REF!</v>
      </c>
      <c r="R1310" s="161" t="e">
        <f>YEAR([1]!Tableau13[[#This Row],[Date début]])</f>
        <v>#REF!</v>
      </c>
    </row>
    <row r="1311" spans="1:18" ht="30">
      <c r="A1311" s="158">
        <v>45378</v>
      </c>
      <c r="B1311" s="159">
        <v>429</v>
      </c>
      <c r="C1311" s="160" t="str">
        <f>IF(ISNA(VLOOKUP(Tableau13[[#This Row],[Code]],'Code Véhicule'!$A$4:$C$185,2,0)),"",VLOOKUP(Tableau13[[#This Row],[Code]],'Code Véhicule'!$A$4:$C$185,2,0))</f>
        <v>Chariot elevateur</v>
      </c>
      <c r="D1311" s="161" t="str">
        <f>IF(ISNA(VLOOKUP(Tableau13[[#This Row],[Code]],'Code Véhicule'!$A$4:$C$185,3,0)),"",VLOOKUP(Tableau13[[#This Row],[Code]],'Code Véhicule'!$A$4:$C$185,3,0))</f>
        <v>Fenwick HD30</v>
      </c>
      <c r="E1311" s="159" t="str">
        <f>IF(ISNA(VLOOKUP(Tableau13[[#This Row],[Code]],'Code Véhicule'!$A$4:$D$185,4,0))," ",VLOOKUP(Tableau13[[#This Row],[Code]],'Code Véhicule'!$A$4:$D$185,4,0))</f>
        <v>-</v>
      </c>
      <c r="F1311" s="159"/>
      <c r="G1311" s="162" t="s">
        <v>2396</v>
      </c>
      <c r="H1311" s="163" t="s">
        <v>1008</v>
      </c>
      <c r="I1311" s="164" t="s">
        <v>304</v>
      </c>
      <c r="J1311" s="165" t="s">
        <v>2522</v>
      </c>
      <c r="K1311" s="159">
        <v>6384</v>
      </c>
      <c r="L1311" s="166">
        <v>240</v>
      </c>
      <c r="M1311" s="166">
        <v>240</v>
      </c>
      <c r="N1311" s="167">
        <v>45378</v>
      </c>
      <c r="O1311" s="168"/>
      <c r="P1311" s="168"/>
      <c r="Q1311" s="159" t="e">
        <f>MONTH([1]!Tableau13[[#This Row],[Date début]])</f>
        <v>#REF!</v>
      </c>
      <c r="R1311" s="161" t="e">
        <f>YEAR([1]!Tableau13[[#This Row],[Date début]])</f>
        <v>#REF!</v>
      </c>
    </row>
    <row r="1312" spans="1:18" ht="30">
      <c r="A1312" s="158">
        <v>45379</v>
      </c>
      <c r="B1312" s="159">
        <v>410</v>
      </c>
      <c r="C1312" s="160" t="str">
        <f>IF(ISNA(VLOOKUP(Tableau13[[#This Row],[Code]],'Code Véhicule'!$A$4:$C$185,2,0)),"",VLOOKUP(Tableau13[[#This Row],[Code]],'Code Véhicule'!$A$4:$C$185,2,0))</f>
        <v>Semi remorque</v>
      </c>
      <c r="D1312" s="161" t="str">
        <f>IF(ISNA(VLOOKUP(Tableau13[[#This Row],[Code]],'Code Véhicule'!$A$4:$C$185,3,0)),"",VLOOKUP(Tableau13[[#This Row],[Code]],'Code Véhicule'!$A$4:$C$185,3,0))</f>
        <v>MAN</v>
      </c>
      <c r="E1312" s="159" t="str">
        <f>IF(ISNA(VLOOKUP(Tableau13[[#This Row],[Code]],'Code Véhicule'!$A$4:$D$185,4,0))," ",VLOOKUP(Tableau13[[#This Row],[Code]],'Code Véhicule'!$A$4:$D$185,4,0))</f>
        <v xml:space="preserve">28659-D-1 </v>
      </c>
      <c r="F1312" s="159"/>
      <c r="G1312" s="162" t="s">
        <v>2396</v>
      </c>
      <c r="H1312" s="163" t="s">
        <v>2523</v>
      </c>
      <c r="I1312" s="164" t="s">
        <v>304</v>
      </c>
      <c r="J1312" s="165" t="s">
        <v>2524</v>
      </c>
      <c r="K1312" s="159" t="s">
        <v>2525</v>
      </c>
      <c r="L1312" s="166">
        <v>540</v>
      </c>
      <c r="M1312" s="166">
        <v>480</v>
      </c>
      <c r="N1312" s="167">
        <v>45379</v>
      </c>
      <c r="O1312" s="168"/>
      <c r="P1312" s="168"/>
      <c r="Q1312" s="159" t="e">
        <f>MONTH([1]!Tableau13[[#This Row],[Date début]])</f>
        <v>#REF!</v>
      </c>
      <c r="R1312" s="161" t="e">
        <f>YEAR([1]!Tableau13[[#This Row],[Date début]])</f>
        <v>#REF!</v>
      </c>
    </row>
    <row r="1313" spans="1:18">
      <c r="A1313" s="158">
        <v>45379</v>
      </c>
      <c r="B1313" s="159">
        <v>426</v>
      </c>
      <c r="C1313" s="160" t="str">
        <f>IF(ISNA(VLOOKUP(Tableau13[[#This Row],[Code]],'Code Véhicule'!$A$4:$C$185,2,0)),"",VLOOKUP(Tableau13[[#This Row],[Code]],'Code Véhicule'!$A$4:$C$185,2,0))</f>
        <v>Chariot elevateur</v>
      </c>
      <c r="D1313" s="161" t="str">
        <f>IF(ISNA(VLOOKUP(Tableau13[[#This Row],[Code]],'Code Véhicule'!$A$4:$C$185,3,0)),"",VLOOKUP(Tableau13[[#This Row],[Code]],'Code Véhicule'!$A$4:$C$185,3,0))</f>
        <v>Manitou MC 30</v>
      </c>
      <c r="E1313" s="159" t="str">
        <f>IF(ISNA(VLOOKUP(Tableau13[[#This Row],[Code]],'Code Véhicule'!$A$4:$D$185,4,0))," ",VLOOKUP(Tableau13[[#This Row],[Code]],'Code Véhicule'!$A$4:$D$185,4,0))</f>
        <v>-</v>
      </c>
      <c r="F1313" s="159"/>
      <c r="G1313" s="162" t="s">
        <v>2396</v>
      </c>
      <c r="H1313" s="163" t="s">
        <v>2526</v>
      </c>
      <c r="I1313" s="164" t="s">
        <v>304</v>
      </c>
      <c r="J1313" s="165" t="s">
        <v>2527</v>
      </c>
      <c r="K1313" s="159">
        <v>6430</v>
      </c>
      <c r="L1313" s="166">
        <v>180</v>
      </c>
      <c r="M1313" s="166">
        <v>180</v>
      </c>
      <c r="N1313" s="167">
        <v>45379</v>
      </c>
      <c r="O1313" s="168"/>
      <c r="P1313" s="168"/>
      <c r="Q1313" s="159" t="e">
        <f>MONTH([1]!Tableau13[[#This Row],[Date début]])</f>
        <v>#REF!</v>
      </c>
      <c r="R1313" s="161" t="e">
        <f>YEAR([1]!Tableau13[[#This Row],[Date début]])</f>
        <v>#REF!</v>
      </c>
    </row>
    <row r="1314" spans="1:18">
      <c r="A1314" s="158">
        <v>45383</v>
      </c>
      <c r="B1314" s="159">
        <v>407</v>
      </c>
      <c r="C1314" s="160" t="str">
        <f>IF(ISNA(VLOOKUP(Tableau13[[#This Row],[Code]],'Code Véhicule'!$A$4:$C$185,2,0)),"",VLOOKUP(Tableau13[[#This Row],[Code]],'Code Véhicule'!$A$4:$C$185,2,0))</f>
        <v>Semi remorque</v>
      </c>
      <c r="D1314" s="161" t="str">
        <f>IF(ISNA(VLOOKUP(Tableau13[[#This Row],[Code]],'Code Véhicule'!$A$4:$C$185,3,0)),"",VLOOKUP(Tableau13[[#This Row],[Code]],'Code Véhicule'!$A$4:$C$185,3,0))</f>
        <v>MAN</v>
      </c>
      <c r="E1314" s="159" t="str">
        <f>IF(ISNA(VLOOKUP(Tableau13[[#This Row],[Code]],'Code Véhicule'!$A$4:$D$185,4,0))," ",VLOOKUP(Tableau13[[#This Row],[Code]],'Code Véhicule'!$A$4:$D$185,4,0))</f>
        <v>706-A-73</v>
      </c>
      <c r="F1314" s="159"/>
      <c r="G1314" s="162" t="s">
        <v>525</v>
      </c>
      <c r="H1314" s="163" t="s">
        <v>560</v>
      </c>
      <c r="I1314" s="164" t="s">
        <v>304</v>
      </c>
      <c r="J1314" s="165" t="s">
        <v>2401</v>
      </c>
      <c r="K1314" s="159">
        <v>6520</v>
      </c>
      <c r="L1314" s="166">
        <v>120</v>
      </c>
      <c r="M1314" s="166">
        <v>120</v>
      </c>
      <c r="N1314" s="167">
        <v>45383</v>
      </c>
      <c r="O1314" s="168"/>
      <c r="P1314" s="168"/>
      <c r="Q1314" s="159" t="e">
        <f>MONTH([1]!Tableau13[[#This Row],[Date début]])</f>
        <v>#REF!</v>
      </c>
      <c r="R1314" s="161" t="e">
        <f>YEAR([1]!Tableau13[[#This Row],[Date début]])</f>
        <v>#REF!</v>
      </c>
    </row>
    <row r="1315" spans="1:18">
      <c r="A1315" s="158">
        <v>45383</v>
      </c>
      <c r="B1315" s="159">
        <v>432</v>
      </c>
      <c r="C1315" s="160" t="str">
        <f>IF(ISNA(VLOOKUP(Tableau13[[#This Row],[Code]],'Code Véhicule'!$A$4:$C$185,2,0)),"",VLOOKUP(Tableau13[[#This Row],[Code]],'Code Véhicule'!$A$4:$C$185,2,0))</f>
        <v>Voiture de fonction</v>
      </c>
      <c r="D1315" s="161" t="str">
        <f>IF(ISNA(VLOOKUP(Tableau13[[#This Row],[Code]],'Code Véhicule'!$A$4:$C$185,3,0)),"",VLOOKUP(Tableau13[[#This Row],[Code]],'Code Véhicule'!$A$4:$C$185,3,0))</f>
        <v>Berlingo</v>
      </c>
      <c r="E1315" s="159" t="str">
        <f>IF(ISNA(VLOOKUP(Tableau13[[#This Row],[Code]],'Code Véhicule'!$A$4:$D$185,4,0))," ",VLOOKUP(Tableau13[[#This Row],[Code]],'Code Véhicule'!$A$4:$D$185,4,0))</f>
        <v xml:space="preserve"> 9660 -A-73</v>
      </c>
      <c r="F1315" s="159"/>
      <c r="G1315" s="162" t="s">
        <v>2396</v>
      </c>
      <c r="H1315" s="163" t="s">
        <v>542</v>
      </c>
      <c r="I1315" s="164" t="s">
        <v>304</v>
      </c>
      <c r="J1315" s="165" t="s">
        <v>2529</v>
      </c>
      <c r="K1315" s="159">
        <v>6528</v>
      </c>
      <c r="L1315" s="166">
        <v>180</v>
      </c>
      <c r="M1315" s="166">
        <v>240</v>
      </c>
      <c r="N1315" s="167">
        <v>45383</v>
      </c>
      <c r="O1315" s="168"/>
      <c r="P1315" s="168"/>
      <c r="Q1315" s="159" t="e">
        <f>MONTH([1]!Tableau13[[#This Row],[Date début]])</f>
        <v>#REF!</v>
      </c>
      <c r="R1315" s="161" t="e">
        <f>YEAR([1]!Tableau13[[#This Row],[Date début]])</f>
        <v>#REF!</v>
      </c>
    </row>
    <row r="1316" spans="1:18">
      <c r="A1316" s="158">
        <v>45383</v>
      </c>
      <c r="B1316" s="159">
        <v>479</v>
      </c>
      <c r="C1316" s="160" t="str">
        <f>IF(ISNA(VLOOKUP(Tableau13[[#This Row],[Code]],'Code Véhicule'!$A$4:$C$185,2,0)),"",VLOOKUP(Tableau13[[#This Row],[Code]],'Code Véhicule'!$A$4:$C$185,2,0))</f>
        <v>Bus de transport</v>
      </c>
      <c r="D1316" s="161" t="str">
        <f>IF(ISNA(VLOOKUP(Tableau13[[#This Row],[Code]],'Code Véhicule'!$A$4:$C$185,3,0)),"",VLOOKUP(Tableau13[[#This Row],[Code]],'Code Véhicule'!$A$4:$C$185,3,0))</f>
        <v>Hyundai County</v>
      </c>
      <c r="E1316" s="159" t="str">
        <f>IF(ISNA(VLOOKUP(Tableau13[[#This Row],[Code]],'Code Véhicule'!$A$4:$D$185,4,0))," ",VLOOKUP(Tableau13[[#This Row],[Code]],'Code Véhicule'!$A$4:$D$185,4,0))</f>
        <v>22772-A-73</v>
      </c>
      <c r="F1316" s="159"/>
      <c r="G1316" s="162" t="s">
        <v>2396</v>
      </c>
      <c r="H1316" s="163" t="s">
        <v>2519</v>
      </c>
      <c r="I1316" s="164" t="s">
        <v>304</v>
      </c>
      <c r="J1316" s="165" t="s">
        <v>2530</v>
      </c>
      <c r="K1316" s="159">
        <v>6533</v>
      </c>
      <c r="L1316" s="166">
        <v>240</v>
      </c>
      <c r="M1316" s="166">
        <v>240</v>
      </c>
      <c r="N1316" s="167">
        <v>45383</v>
      </c>
      <c r="O1316" s="168"/>
      <c r="P1316" s="168"/>
      <c r="Q1316" s="159" t="e">
        <f>MONTH([1]!Tableau13[[#This Row],[Date début]])</f>
        <v>#REF!</v>
      </c>
      <c r="R1316" s="161" t="e">
        <f>YEAR([1]!Tableau13[[#This Row],[Date début]])</f>
        <v>#REF!</v>
      </c>
    </row>
    <row r="1317" spans="1:18" ht="30">
      <c r="A1317" s="158">
        <v>45383</v>
      </c>
      <c r="B1317" s="159">
        <v>436</v>
      </c>
      <c r="C1317" s="160" t="str">
        <f>IF(ISNA(VLOOKUP(Tableau13[[#This Row],[Code]],'Code Véhicule'!$A$4:$C$185,2,0)),"",VLOOKUP(Tableau13[[#This Row],[Code]],'Code Véhicule'!$A$4:$C$185,2,0))</f>
        <v>Camion</v>
      </c>
      <c r="D1317" s="161" t="str">
        <f>IF(ISNA(VLOOKUP(Tableau13[[#This Row],[Code]],'Code Véhicule'!$A$4:$C$185,3,0)),"",VLOOKUP(Tableau13[[#This Row],[Code]],'Code Véhicule'!$A$4:$C$185,3,0))</f>
        <v>Mitsubishi</v>
      </c>
      <c r="E1317" s="159" t="str">
        <f>IF(ISNA(VLOOKUP(Tableau13[[#This Row],[Code]],'Code Véhicule'!$A$4:$D$185,4,0))," ",VLOOKUP(Tableau13[[#This Row],[Code]],'Code Véhicule'!$A$4:$D$185,4,0))</f>
        <v>11470-A-73</v>
      </c>
      <c r="F1317" s="159"/>
      <c r="G1317" s="162" t="s">
        <v>2396</v>
      </c>
      <c r="H1317" s="163" t="s">
        <v>394</v>
      </c>
      <c r="I1317" s="164" t="s">
        <v>304</v>
      </c>
      <c r="J1317" s="165" t="s">
        <v>2531</v>
      </c>
      <c r="K1317" s="159">
        <v>6534</v>
      </c>
      <c r="L1317" s="166">
        <v>2700</v>
      </c>
      <c r="M1317" s="166">
        <v>4320</v>
      </c>
      <c r="N1317" s="167">
        <v>45390</v>
      </c>
      <c r="O1317" s="168"/>
      <c r="P1317" s="168"/>
      <c r="Q1317" s="159" t="e">
        <f>MONTH([1]!Tableau13[[#This Row],[Date début]])</f>
        <v>#REF!</v>
      </c>
      <c r="R1317" s="161" t="e">
        <f>YEAR([1]!Tableau13[[#This Row],[Date début]])</f>
        <v>#REF!</v>
      </c>
    </row>
    <row r="1318" spans="1:18">
      <c r="A1318" s="158">
        <v>45384</v>
      </c>
      <c r="B1318" s="159">
        <v>472</v>
      </c>
      <c r="C1318" s="160" t="str">
        <f>IF(ISNA(VLOOKUP(Tableau13[[#This Row],[Code]],'Code Véhicule'!$A$4:$C$185,2,0)),"",VLOOKUP(Tableau13[[#This Row],[Code]],'Code Véhicule'!$A$4:$C$185,2,0))</f>
        <v>Chariot elevateur</v>
      </c>
      <c r="D1318" s="161" t="str">
        <f>IF(ISNA(VLOOKUP(Tableau13[[#This Row],[Code]],'Code Véhicule'!$A$4:$C$185,3,0)),"",VLOOKUP(Tableau13[[#This Row],[Code]],'Code Véhicule'!$A$4:$C$185,3,0))</f>
        <v>Linde H25d</v>
      </c>
      <c r="E1318" s="159" t="str">
        <f>IF(ISNA(VLOOKUP(Tableau13[[#This Row],[Code]],'Code Véhicule'!$A$4:$D$185,4,0))," ",VLOOKUP(Tableau13[[#This Row],[Code]],'Code Véhicule'!$A$4:$D$185,4,0))</f>
        <v>-</v>
      </c>
      <c r="F1318" s="159"/>
      <c r="G1318" s="162" t="s">
        <v>2396</v>
      </c>
      <c r="H1318" s="163" t="s">
        <v>2404</v>
      </c>
      <c r="I1318" s="164" t="s">
        <v>302</v>
      </c>
      <c r="J1318" s="165" t="s">
        <v>2532</v>
      </c>
      <c r="K1318" s="159">
        <v>6553</v>
      </c>
      <c r="L1318" s="166">
        <v>60</v>
      </c>
      <c r="M1318" s="166">
        <v>60</v>
      </c>
      <c r="N1318" s="167">
        <v>45384</v>
      </c>
      <c r="O1318" s="168"/>
      <c r="P1318" s="168"/>
      <c r="Q1318" s="159" t="e">
        <f>MONTH([1]!Tableau13[[#This Row],[Date début]])</f>
        <v>#REF!</v>
      </c>
      <c r="R1318" s="161" t="e">
        <f>YEAR([1]!Tableau13[[#This Row],[Date début]])</f>
        <v>#REF!</v>
      </c>
    </row>
    <row r="1319" spans="1:18" ht="30">
      <c r="A1319" s="158">
        <v>45384</v>
      </c>
      <c r="B1319" s="159">
        <v>477</v>
      </c>
      <c r="C1319" s="160" t="str">
        <f>IF(ISNA(VLOOKUP(Tableau13[[#This Row],[Code]],'Code Véhicule'!$A$4:$C$185,2,0)),"",VLOOKUP(Tableau13[[#This Row],[Code]],'Code Véhicule'!$A$4:$C$185,2,0))</f>
        <v>Chariot elevateur</v>
      </c>
      <c r="D1319" s="161" t="str">
        <f>IF(ISNA(VLOOKUP(Tableau13[[#This Row],[Code]],'Code Véhicule'!$A$4:$C$185,3,0)),"",VLOOKUP(Tableau13[[#This Row],[Code]],'Code Véhicule'!$A$4:$C$185,3,0))</f>
        <v>Linde H30D</v>
      </c>
      <c r="E1319" s="159" t="str">
        <f>IF(ISNA(VLOOKUP(Tableau13[[#This Row],[Code]],'Code Véhicule'!$A$4:$D$185,4,0))," ",VLOOKUP(Tableau13[[#This Row],[Code]],'Code Véhicule'!$A$4:$D$185,4,0))</f>
        <v>-</v>
      </c>
      <c r="F1319" s="159"/>
      <c r="G1319" s="162" t="s">
        <v>2396</v>
      </c>
      <c r="H1319" s="163" t="s">
        <v>2404</v>
      </c>
      <c r="I1319" s="164" t="s">
        <v>302</v>
      </c>
      <c r="J1319" s="165" t="s">
        <v>2130</v>
      </c>
      <c r="K1319" s="159">
        <v>6554</v>
      </c>
      <c r="L1319" s="166">
        <v>60</v>
      </c>
      <c r="M1319" s="166">
        <v>60</v>
      </c>
      <c r="N1319" s="167">
        <v>45384</v>
      </c>
      <c r="O1319" s="168"/>
      <c r="P1319" s="168"/>
      <c r="Q1319" s="159" t="e">
        <f>MONTH([1]!Tableau13[[#This Row],[Date début]])</f>
        <v>#REF!</v>
      </c>
      <c r="R1319" s="161" t="e">
        <f>YEAR([1]!Tableau13[[#This Row],[Date début]])</f>
        <v>#REF!</v>
      </c>
    </row>
    <row r="1320" spans="1:18" ht="30">
      <c r="A1320" s="158">
        <v>45385</v>
      </c>
      <c r="B1320" s="159">
        <v>432</v>
      </c>
      <c r="C1320" s="160" t="str">
        <f>IF(ISNA(VLOOKUP(Tableau13[[#This Row],[Code]],'Code Véhicule'!$A$4:$C$185,2,0)),"",VLOOKUP(Tableau13[[#This Row],[Code]],'Code Véhicule'!$A$4:$C$185,2,0))</f>
        <v>Voiture de fonction</v>
      </c>
      <c r="D1320" s="161" t="str">
        <f>IF(ISNA(VLOOKUP(Tableau13[[#This Row],[Code]],'Code Véhicule'!$A$4:$C$185,3,0)),"",VLOOKUP(Tableau13[[#This Row],[Code]],'Code Véhicule'!$A$4:$C$185,3,0))</f>
        <v>Berlingo</v>
      </c>
      <c r="E1320" s="159" t="str">
        <f>IF(ISNA(VLOOKUP(Tableau13[[#This Row],[Code]],'Code Véhicule'!$A$4:$D$185,4,0))," ",VLOOKUP(Tableau13[[#This Row],[Code]],'Code Véhicule'!$A$4:$D$185,4,0))</f>
        <v xml:space="preserve"> 9660 -A-73</v>
      </c>
      <c r="F1320" s="159" t="str">
        <f>IF(ISNA(VLOOKUP(Tableau13[[#This Row],[Type]],'Code Véhicule'!$A$4:$D$185,4,0))," ",VLOOKUP(Tableau13[[#This Row],[Type]],'Code Véhicule'!$A$4:$D$185,4,0))</f>
        <v xml:space="preserve"> </v>
      </c>
      <c r="G1320" s="162" t="s">
        <v>2396</v>
      </c>
      <c r="H1320" s="163" t="s">
        <v>2519</v>
      </c>
      <c r="I1320" s="164" t="s">
        <v>304</v>
      </c>
      <c r="J1320" s="165" t="s">
        <v>2533</v>
      </c>
      <c r="K1320" s="159">
        <v>6589</v>
      </c>
      <c r="L1320" s="166">
        <v>2160</v>
      </c>
      <c r="M1320" s="166">
        <v>3240</v>
      </c>
      <c r="N1320" s="167">
        <v>45391</v>
      </c>
      <c r="O1320" s="168"/>
      <c r="P1320" s="168"/>
      <c r="Q1320" s="159" t="e">
        <f>MONTH([1]!Tableau13[[#This Row],[Date début]])</f>
        <v>#REF!</v>
      </c>
      <c r="R1320" s="161" t="e">
        <f>YEAR([1]!Tableau13[[#This Row],[Date début]])</f>
        <v>#REF!</v>
      </c>
    </row>
    <row r="1321" spans="1:18" ht="45">
      <c r="A1321" s="158">
        <v>45386</v>
      </c>
      <c r="B1321" s="159">
        <v>438</v>
      </c>
      <c r="C1321" s="160" t="str">
        <f>IF(ISNA(VLOOKUP(Tableau13[[#This Row],[Code]],'Code Véhicule'!$A$4:$C$185,2,0)),"",VLOOKUP(Tableau13[[#This Row],[Code]],'Code Véhicule'!$A$4:$C$185,2,0))</f>
        <v>Semi remorque</v>
      </c>
      <c r="D1321" s="161" t="str">
        <f>IF(ISNA(VLOOKUP(Tableau13[[#This Row],[Code]],'Code Véhicule'!$A$4:$C$185,3,0)),"",VLOOKUP(Tableau13[[#This Row],[Code]],'Code Véhicule'!$A$4:$C$185,3,0))</f>
        <v>VOLVO</v>
      </c>
      <c r="E1321" s="159" t="str">
        <f>IF(ISNA(VLOOKUP(Tableau13[[#This Row],[Code]],'Code Véhicule'!$A$4:$D$185,4,0))," ",VLOOKUP(Tableau13[[#This Row],[Code]],'Code Véhicule'!$A$4:$D$185,4,0))</f>
        <v xml:space="preserve">17885-A-73 </v>
      </c>
      <c r="F1321" s="159" t="str">
        <f>IF(ISNA(VLOOKUP(Tableau13[[#This Row],[Type]],'Code Véhicule'!$A$4:$D$185,4,0))," ",VLOOKUP(Tableau13[[#This Row],[Type]],'Code Véhicule'!$A$4:$D$185,4,0))</f>
        <v xml:space="preserve"> </v>
      </c>
      <c r="G1321" s="162" t="s">
        <v>2396</v>
      </c>
      <c r="H1321" s="163" t="s">
        <v>523</v>
      </c>
      <c r="I1321" s="164" t="s">
        <v>2534</v>
      </c>
      <c r="J1321" s="165" t="s">
        <v>2535</v>
      </c>
      <c r="K1321" s="159">
        <v>6626</v>
      </c>
      <c r="L1321" s="166">
        <v>540</v>
      </c>
      <c r="M1321" s="166">
        <v>540</v>
      </c>
      <c r="N1321" s="167">
        <v>45386</v>
      </c>
      <c r="O1321" s="168"/>
      <c r="P1321" s="168"/>
      <c r="Q1321" s="159" t="e">
        <f>MONTH([1]!Tableau13[[#This Row],[Date début]])</f>
        <v>#REF!</v>
      </c>
      <c r="R1321" s="161" t="e">
        <f>YEAR([1]!Tableau13[[#This Row],[Date début]])</f>
        <v>#REF!</v>
      </c>
    </row>
    <row r="1322" spans="1:18">
      <c r="A1322" s="158">
        <v>45387</v>
      </c>
      <c r="B1322" s="159">
        <v>406</v>
      </c>
      <c r="C1322" s="160" t="str">
        <f>IF(ISNA(VLOOKUP(Tableau13[[#This Row],[Code]],'Code Véhicule'!$A$4:$C$185,2,0)),"",VLOOKUP(Tableau13[[#This Row],[Code]],'Code Véhicule'!$A$4:$C$185,2,0))</f>
        <v>Semi remorque</v>
      </c>
      <c r="D1322" s="161" t="str">
        <f>IF(ISNA(VLOOKUP(Tableau13[[#This Row],[Code]],'Code Véhicule'!$A$4:$C$185,3,0)),"",VLOOKUP(Tableau13[[#This Row],[Code]],'Code Véhicule'!$A$4:$C$185,3,0))</f>
        <v>VOLVO</v>
      </c>
      <c r="E1322" s="159" t="str">
        <f>IF(ISNA(VLOOKUP(Tableau13[[#This Row],[Code]],'Code Véhicule'!$A$4:$D$185,4,0))," ",VLOOKUP(Tableau13[[#This Row],[Code]],'Code Véhicule'!$A$4:$D$185,4,0))</f>
        <v>70352-A-6</v>
      </c>
      <c r="F1322" s="159"/>
      <c r="G1322" s="162" t="s">
        <v>2396</v>
      </c>
      <c r="H1322" s="163" t="s">
        <v>1478</v>
      </c>
      <c r="I1322" s="164" t="s">
        <v>304</v>
      </c>
      <c r="J1322" s="165" t="s">
        <v>2175</v>
      </c>
      <c r="K1322" s="159">
        <v>6642</v>
      </c>
      <c r="L1322" s="166">
        <v>180</v>
      </c>
      <c r="M1322" s="166">
        <v>240</v>
      </c>
      <c r="N1322" s="167">
        <v>45387</v>
      </c>
      <c r="O1322" s="168"/>
      <c r="P1322" s="168"/>
      <c r="Q1322" s="159" t="e">
        <f>MONTH([1]!Tableau13[[#This Row],[Date début]])</f>
        <v>#REF!</v>
      </c>
      <c r="R1322" s="161" t="e">
        <f>YEAR([1]!Tableau13[[#This Row],[Date début]])</f>
        <v>#REF!</v>
      </c>
    </row>
    <row r="1323" spans="1:18">
      <c r="A1323" s="158">
        <v>45387</v>
      </c>
      <c r="B1323" s="159">
        <v>436</v>
      </c>
      <c r="C1323" s="160" t="str">
        <f>IF(ISNA(VLOOKUP(Tableau13[[#This Row],[Code]],'Code Véhicule'!$A$4:$C$185,2,0)),"",VLOOKUP(Tableau13[[#This Row],[Code]],'Code Véhicule'!$A$4:$C$185,2,0))</f>
        <v>Camion</v>
      </c>
      <c r="D1323" s="161" t="str">
        <f>IF(ISNA(VLOOKUP(Tableau13[[#This Row],[Code]],'Code Véhicule'!$A$4:$C$185,3,0)),"",VLOOKUP(Tableau13[[#This Row],[Code]],'Code Véhicule'!$A$4:$C$185,3,0))</f>
        <v>Mitsubishi</v>
      </c>
      <c r="E1323" s="159" t="str">
        <f>IF(ISNA(VLOOKUP(Tableau13[[#This Row],[Code]],'Code Véhicule'!$A$4:$D$185,4,0))," ",VLOOKUP(Tableau13[[#This Row],[Code]],'Code Véhicule'!$A$4:$D$185,4,0))</f>
        <v>11470-A-73</v>
      </c>
      <c r="F1323" s="159"/>
      <c r="G1323" s="162" t="s">
        <v>525</v>
      </c>
      <c r="H1323" s="163" t="s">
        <v>2536</v>
      </c>
      <c r="I1323" s="164" t="s">
        <v>304</v>
      </c>
      <c r="J1323" s="165" t="s">
        <v>2537</v>
      </c>
      <c r="K1323" s="159">
        <v>6643</v>
      </c>
      <c r="L1323" s="166">
        <v>240</v>
      </c>
      <c r="M1323" s="166">
        <v>240</v>
      </c>
      <c r="N1323" s="167">
        <v>45387</v>
      </c>
      <c r="O1323" s="168"/>
      <c r="P1323" s="168"/>
      <c r="Q1323" s="159" t="e">
        <f>MONTH([1]!Tableau13[[#This Row],[Date début]])</f>
        <v>#REF!</v>
      </c>
      <c r="R1323" s="161" t="e">
        <f>YEAR([1]!Tableau13[[#This Row],[Date début]])</f>
        <v>#REF!</v>
      </c>
    </row>
    <row r="1324" spans="1:18">
      <c r="A1324" s="158">
        <v>45399</v>
      </c>
      <c r="B1324" s="159">
        <v>409</v>
      </c>
      <c r="C1324" s="160" t="str">
        <f>IF(ISNA(VLOOKUP(Tableau13[[#This Row],[Code]],'Code Véhicule'!$A$4:$C$185,2,0)),"",VLOOKUP(Tableau13[[#This Row],[Code]],'Code Véhicule'!$A$4:$C$185,2,0))</f>
        <v>Camion</v>
      </c>
      <c r="D1324" s="161" t="str">
        <f>IF(ISNA(VLOOKUP(Tableau13[[#This Row],[Code]],'Code Véhicule'!$A$4:$C$185,3,0)),"",VLOOKUP(Tableau13[[#This Row],[Code]],'Code Véhicule'!$A$4:$C$185,3,0))</f>
        <v>Mitsubishi</v>
      </c>
      <c r="E1324" s="159" t="str">
        <f>IF(ISNA(VLOOKUP(Tableau13[[#This Row],[Code]],'Code Véhicule'!$A$4:$D$185,4,0))," ",VLOOKUP(Tableau13[[#This Row],[Code]],'Code Véhicule'!$A$4:$D$185,4,0))</f>
        <v xml:space="preserve">4969-A-73 </v>
      </c>
      <c r="F1324" s="159"/>
      <c r="G1324" s="162" t="s">
        <v>2396</v>
      </c>
      <c r="H1324" s="163" t="s">
        <v>610</v>
      </c>
      <c r="I1324" s="164" t="s">
        <v>304</v>
      </c>
      <c r="J1324" s="165" t="s">
        <v>2538</v>
      </c>
      <c r="K1324" s="159">
        <v>6798</v>
      </c>
      <c r="L1324" s="166">
        <v>1080</v>
      </c>
      <c r="M1324" s="166">
        <v>1080</v>
      </c>
      <c r="N1324" s="167">
        <v>45400</v>
      </c>
      <c r="O1324" s="168"/>
      <c r="P1324" s="168"/>
      <c r="Q1324" s="159" t="e">
        <f>MONTH([1]!Tableau13[[#This Row],[Date début]])</f>
        <v>#REF!</v>
      </c>
      <c r="R1324" s="161" t="e">
        <f>YEAR([1]!Tableau13[[#This Row],[Date début]])</f>
        <v>#REF!</v>
      </c>
    </row>
    <row r="1325" spans="1:18">
      <c r="A1325" s="158">
        <v>45399</v>
      </c>
      <c r="B1325" s="159">
        <v>411</v>
      </c>
      <c r="C1325" s="160" t="str">
        <f>IF(ISNA(VLOOKUP(Tableau13[[#This Row],[Code]],'Code Véhicule'!$A$4:$C$185,2,0)),"",VLOOKUP(Tableau13[[#This Row],[Code]],'Code Véhicule'!$A$4:$C$185,2,0))</f>
        <v>Camion</v>
      </c>
      <c r="D1325" s="161" t="str">
        <f>IF(ISNA(VLOOKUP(Tableau13[[#This Row],[Code]],'Code Véhicule'!$A$4:$C$185,3,0)),"",VLOOKUP(Tableau13[[#This Row],[Code]],'Code Véhicule'!$A$4:$C$185,3,0))</f>
        <v>Renault</v>
      </c>
      <c r="E1325" s="159" t="str">
        <f>IF(ISNA(VLOOKUP(Tableau13[[#This Row],[Code]],'Code Véhicule'!$A$4:$D$185,4,0))," ",VLOOKUP(Tableau13[[#This Row],[Code]],'Code Véhicule'!$A$4:$D$185,4,0))</f>
        <v>25636-A-13</v>
      </c>
      <c r="F1325" s="159"/>
      <c r="G1325" s="162" t="s">
        <v>525</v>
      </c>
      <c r="H1325" s="163" t="s">
        <v>560</v>
      </c>
      <c r="I1325" s="164" t="s">
        <v>304</v>
      </c>
      <c r="J1325" s="165" t="s">
        <v>2539</v>
      </c>
      <c r="K1325" s="159">
        <v>6799</v>
      </c>
      <c r="L1325" s="166">
        <v>540</v>
      </c>
      <c r="M1325" s="166">
        <v>540</v>
      </c>
      <c r="N1325" s="167">
        <v>45399</v>
      </c>
      <c r="O1325" s="168"/>
      <c r="P1325" s="168"/>
      <c r="Q1325" s="159" t="e">
        <f>MONTH([1]!Tableau13[[#This Row],[Date début]])</f>
        <v>#REF!</v>
      </c>
      <c r="R1325" s="161" t="e">
        <f>YEAR([1]!Tableau13[[#This Row],[Date début]])</f>
        <v>#REF!</v>
      </c>
    </row>
    <row r="1326" spans="1:18">
      <c r="A1326" s="169">
        <v>45399</v>
      </c>
      <c r="B1326" s="170">
        <v>436</v>
      </c>
      <c r="C1326" s="160" t="str">
        <f>IF(ISNA(VLOOKUP(Tableau13[[#This Row],[Code]],'Code Véhicule'!$A$4:$C$185,2,0)),"",VLOOKUP(Tableau13[[#This Row],[Code]],'Code Véhicule'!$A$4:$C$185,2,0))</f>
        <v>Camion</v>
      </c>
      <c r="D1326" s="161" t="str">
        <f>IF(ISNA(VLOOKUP(Tableau13[[#This Row],[Code]],'Code Véhicule'!$A$4:$C$185,3,0)),"",VLOOKUP(Tableau13[[#This Row],[Code]],'Code Véhicule'!$A$4:$C$185,3,0))</f>
        <v>Mitsubishi</v>
      </c>
      <c r="E1326" s="159" t="str">
        <f>IF(ISNA(VLOOKUP(Tableau13[[#This Row],[Code]],'Code Véhicule'!$A$4:$D$185,4,0))," ",VLOOKUP(Tableau13[[#This Row],[Code]],'Code Véhicule'!$A$4:$D$185,4,0))</f>
        <v>11470-A-73</v>
      </c>
      <c r="F1326" s="170"/>
      <c r="G1326" s="162" t="s">
        <v>2396</v>
      </c>
      <c r="H1326" s="172" t="s">
        <v>610</v>
      </c>
      <c r="I1326" s="173" t="s">
        <v>304</v>
      </c>
      <c r="J1326" s="174" t="s">
        <v>2540</v>
      </c>
      <c r="K1326" s="170">
        <v>6801</v>
      </c>
      <c r="L1326" s="166">
        <v>540</v>
      </c>
      <c r="M1326" s="166">
        <v>1080</v>
      </c>
      <c r="N1326" s="175">
        <v>45400</v>
      </c>
      <c r="O1326" s="168"/>
      <c r="P1326" s="168"/>
      <c r="Q1326" s="170" t="e">
        <f>MONTH([1]!Tableau13[[#This Row],[Date début]])</f>
        <v>#REF!</v>
      </c>
      <c r="R1326" s="171" t="e">
        <f>YEAR([1]!Tableau13[[#This Row],[Date début]])</f>
        <v>#REF!</v>
      </c>
    </row>
    <row r="1327" spans="1:18">
      <c r="A1327" s="169">
        <v>45399</v>
      </c>
      <c r="B1327" s="170">
        <v>410</v>
      </c>
      <c r="C1327" s="160" t="str">
        <f>IF(ISNA(VLOOKUP(Tableau13[[#This Row],[Code]],'Code Véhicule'!$A$4:$C$185,2,0)),"",VLOOKUP(Tableau13[[#This Row],[Code]],'Code Véhicule'!$A$4:$C$185,2,0))</f>
        <v>Semi remorque</v>
      </c>
      <c r="D1327" s="161" t="str">
        <f>IF(ISNA(VLOOKUP(Tableau13[[#This Row],[Code]],'Code Véhicule'!$A$4:$C$185,3,0)),"",VLOOKUP(Tableau13[[#This Row],[Code]],'Code Véhicule'!$A$4:$C$185,3,0))</f>
        <v>MAN</v>
      </c>
      <c r="E1327" s="159" t="str">
        <f>IF(ISNA(VLOOKUP(Tableau13[[#This Row],[Code]],'Code Véhicule'!$A$4:$D$185,4,0))," ",VLOOKUP(Tableau13[[#This Row],[Code]],'Code Véhicule'!$A$4:$D$185,4,0))</f>
        <v xml:space="preserve">28659-D-1 </v>
      </c>
      <c r="F1327" s="170"/>
      <c r="G1327" s="162" t="s">
        <v>2396</v>
      </c>
      <c r="H1327" s="172" t="s">
        <v>313</v>
      </c>
      <c r="I1327" s="173" t="s">
        <v>304</v>
      </c>
      <c r="J1327" s="174" t="s">
        <v>2541</v>
      </c>
      <c r="K1327" s="170">
        <v>6806</v>
      </c>
      <c r="L1327" s="166">
        <v>120</v>
      </c>
      <c r="M1327" s="166">
        <v>120</v>
      </c>
      <c r="N1327" s="175">
        <v>45399</v>
      </c>
      <c r="O1327" s="168"/>
      <c r="P1327" s="168"/>
      <c r="Q1327" s="170" t="e">
        <f>MONTH([1]!Tableau13[[#This Row],[Date début]])</f>
        <v>#REF!</v>
      </c>
      <c r="R1327" s="171" t="e">
        <f>YEAR([1]!Tableau13[[#This Row],[Date début]])</f>
        <v>#REF!</v>
      </c>
    </row>
    <row r="1328" spans="1:18">
      <c r="A1328" s="169">
        <v>45401</v>
      </c>
      <c r="B1328" s="170">
        <v>438</v>
      </c>
      <c r="C1328" s="160" t="str">
        <f>IF(ISNA(VLOOKUP(Tableau13[[#This Row],[Code]],'Code Véhicule'!$A$4:$C$185,2,0)),"",VLOOKUP(Tableau13[[#This Row],[Code]],'Code Véhicule'!$A$4:$C$185,2,0))</f>
        <v>Semi remorque</v>
      </c>
      <c r="D1328" s="161" t="str">
        <f>IF(ISNA(VLOOKUP(Tableau13[[#This Row],[Code]],'Code Véhicule'!$A$4:$C$185,3,0)),"",VLOOKUP(Tableau13[[#This Row],[Code]],'Code Véhicule'!$A$4:$C$185,3,0))</f>
        <v>VOLVO</v>
      </c>
      <c r="E1328" s="159" t="str">
        <f>IF(ISNA(VLOOKUP(Tableau13[[#This Row],[Code]],'Code Véhicule'!$A$4:$D$185,4,0))," ",VLOOKUP(Tableau13[[#This Row],[Code]],'Code Véhicule'!$A$4:$D$185,4,0))</f>
        <v xml:space="preserve">17885-A-73 </v>
      </c>
      <c r="F1328" s="170"/>
      <c r="G1328" s="162" t="s">
        <v>525</v>
      </c>
      <c r="H1328" s="172" t="s">
        <v>560</v>
      </c>
      <c r="I1328" s="173" t="s">
        <v>304</v>
      </c>
      <c r="J1328" s="174" t="s">
        <v>2542</v>
      </c>
      <c r="K1328" s="170">
        <v>6866</v>
      </c>
      <c r="L1328" s="166">
        <v>120</v>
      </c>
      <c r="M1328" s="166">
        <v>120</v>
      </c>
      <c r="N1328" s="175">
        <v>45400</v>
      </c>
      <c r="O1328" s="168"/>
      <c r="P1328" s="168"/>
      <c r="Q1328" s="170" t="e">
        <f>MONTH([1]!Tableau13[[#This Row],[Date début]])</f>
        <v>#REF!</v>
      </c>
      <c r="R1328" s="171" t="e">
        <f>YEAR([1]!Tableau13[[#This Row],[Date début]])</f>
        <v>#REF!</v>
      </c>
    </row>
    <row r="1329" spans="1:18" ht="45">
      <c r="A1329" s="169">
        <v>45402</v>
      </c>
      <c r="B1329" s="170">
        <v>409</v>
      </c>
      <c r="C1329" s="160" t="str">
        <f>IF(ISNA(VLOOKUP(Tableau13[[#This Row],[Code]],'Code Véhicule'!$A$4:$C$185,2,0)),"",VLOOKUP(Tableau13[[#This Row],[Code]],'Code Véhicule'!$A$4:$C$185,2,0))</f>
        <v>Camion</v>
      </c>
      <c r="D1329" s="161" t="str">
        <f>IF(ISNA(VLOOKUP(Tableau13[[#This Row],[Code]],'Code Véhicule'!$A$4:$C$185,3,0)),"",VLOOKUP(Tableau13[[#This Row],[Code]],'Code Véhicule'!$A$4:$C$185,3,0))</f>
        <v>Mitsubishi</v>
      </c>
      <c r="E1329" s="159" t="str">
        <f>IF(ISNA(VLOOKUP(Tableau13[[#This Row],[Code]],'Code Véhicule'!$A$4:$D$185,4,0))," ",VLOOKUP(Tableau13[[#This Row],[Code]],'Code Véhicule'!$A$4:$D$185,4,0))</f>
        <v xml:space="preserve">4969-A-73 </v>
      </c>
      <c r="F1329" s="170"/>
      <c r="G1329" s="162" t="s">
        <v>2396</v>
      </c>
      <c r="H1329" s="172" t="s">
        <v>610</v>
      </c>
      <c r="I1329" s="173" t="s">
        <v>304</v>
      </c>
      <c r="J1329" s="174" t="s">
        <v>2547</v>
      </c>
      <c r="K1329" s="170" t="s">
        <v>2548</v>
      </c>
      <c r="L1329" s="166">
        <v>7560</v>
      </c>
      <c r="M1329" s="166">
        <v>7560</v>
      </c>
      <c r="N1329" s="175">
        <v>45418</v>
      </c>
      <c r="O1329" s="168"/>
      <c r="P1329" s="168"/>
      <c r="Q1329" s="170" t="e">
        <f>MONTH([1]!Tableau13[[#This Row],[Date début]])</f>
        <v>#REF!</v>
      </c>
      <c r="R1329" s="171" t="e">
        <f>YEAR([1]!Tableau13[[#This Row],[Date début]])</f>
        <v>#REF!</v>
      </c>
    </row>
    <row r="1330" spans="1:18" ht="60">
      <c r="A1330" s="169">
        <v>45404</v>
      </c>
      <c r="B1330" s="170">
        <v>410</v>
      </c>
      <c r="C1330" s="160" t="str">
        <f>IF(ISNA(VLOOKUP(Tableau13[[#This Row],[Code]],'Code Véhicule'!$A$4:$C$185,2,0)),"",VLOOKUP(Tableau13[[#This Row],[Code]],'Code Véhicule'!$A$4:$C$185,2,0))</f>
        <v>Semi remorque</v>
      </c>
      <c r="D1330" s="161" t="str">
        <f>IF(ISNA(VLOOKUP(Tableau13[[#This Row],[Code]],'Code Véhicule'!$A$4:$C$185,3,0)),"",VLOOKUP(Tableau13[[#This Row],[Code]],'Code Véhicule'!$A$4:$C$185,3,0))</f>
        <v>MAN</v>
      </c>
      <c r="E1330" s="159" t="str">
        <f>IF(ISNA(VLOOKUP(Tableau13[[#This Row],[Code]],'Code Véhicule'!$A$4:$D$185,4,0))," ",VLOOKUP(Tableau13[[#This Row],[Code]],'Code Véhicule'!$A$4:$D$185,4,0))</f>
        <v xml:space="preserve">28659-D-1 </v>
      </c>
      <c r="F1330" s="170"/>
      <c r="G1330" s="162" t="s">
        <v>2391</v>
      </c>
      <c r="H1330" s="172" t="s">
        <v>313</v>
      </c>
      <c r="I1330" s="173" t="s">
        <v>304</v>
      </c>
      <c r="J1330" s="174" t="s">
        <v>2543</v>
      </c>
      <c r="K1330" s="170">
        <v>6925</v>
      </c>
      <c r="L1330" s="166">
        <v>2160</v>
      </c>
      <c r="M1330" s="166">
        <v>3240</v>
      </c>
      <c r="N1330" s="175">
        <v>45410</v>
      </c>
      <c r="O1330" s="168"/>
      <c r="P1330" s="168"/>
      <c r="Q1330" s="170" t="e">
        <f>MONTH([1]!Tableau13[[#This Row],[Date début]])</f>
        <v>#REF!</v>
      </c>
      <c r="R1330" s="171" t="e">
        <f>YEAR([1]!Tableau13[[#This Row],[Date début]])</f>
        <v>#REF!</v>
      </c>
    </row>
    <row r="1331" spans="1:18">
      <c r="A1331" s="169">
        <v>45404</v>
      </c>
      <c r="B1331" s="170">
        <v>439</v>
      </c>
      <c r="C1331" s="160" t="str">
        <f>IF(ISNA(VLOOKUP(Tableau13[[#This Row],[Code]],'Code Véhicule'!$A$4:$C$185,2,0)),"",VLOOKUP(Tableau13[[#This Row],[Code]],'Code Véhicule'!$A$4:$C$185,2,0))</f>
        <v>Semi remorque</v>
      </c>
      <c r="D1331" s="161" t="str">
        <f>IF(ISNA(VLOOKUP(Tableau13[[#This Row],[Code]],'Code Véhicule'!$A$4:$C$185,3,0)),"",VLOOKUP(Tableau13[[#This Row],[Code]],'Code Véhicule'!$A$4:$C$185,3,0))</f>
        <v>VOLVO</v>
      </c>
      <c r="E1331" s="159" t="str">
        <f>IF(ISNA(VLOOKUP(Tableau13[[#This Row],[Code]],'Code Véhicule'!$A$4:$D$185,4,0))," ",VLOOKUP(Tableau13[[#This Row],[Code]],'Code Véhicule'!$A$4:$D$185,4,0))</f>
        <v xml:space="preserve">17886-A-73 </v>
      </c>
      <c r="F1331" s="170"/>
      <c r="G1331" s="162" t="s">
        <v>2544</v>
      </c>
      <c r="H1331" s="172" t="s">
        <v>560</v>
      </c>
      <c r="I1331" s="173" t="s">
        <v>780</v>
      </c>
      <c r="J1331" s="174" t="s">
        <v>2545</v>
      </c>
      <c r="K1331" s="170">
        <v>6965</v>
      </c>
      <c r="L1331" s="166">
        <v>120</v>
      </c>
      <c r="M1331" s="166">
        <v>120</v>
      </c>
      <c r="N1331" s="175">
        <v>45404</v>
      </c>
      <c r="O1331" s="168"/>
      <c r="P1331" s="168"/>
      <c r="Q1331" s="170" t="e">
        <f>MONTH([1]!Tableau13[[#This Row],[Date début]])</f>
        <v>#REF!</v>
      </c>
      <c r="R1331" s="171" t="e">
        <f>YEAR([1]!Tableau13[[#This Row],[Date début]])</f>
        <v>#REF!</v>
      </c>
    </row>
    <row r="1332" spans="1:18">
      <c r="A1332" s="169">
        <v>45405</v>
      </c>
      <c r="B1332" s="170">
        <v>439</v>
      </c>
      <c r="C1332" s="160" t="str">
        <f>IF(ISNA(VLOOKUP(Tableau13[[#This Row],[Code]],'Code Véhicule'!$A$4:$C$185,2,0)),"",VLOOKUP(Tableau13[[#This Row],[Code]],'Code Véhicule'!$A$4:$C$185,2,0))</f>
        <v>Semi remorque</v>
      </c>
      <c r="D1332" s="161" t="str">
        <f>IF(ISNA(VLOOKUP(Tableau13[[#This Row],[Code]],'Code Véhicule'!$A$4:$C$185,3,0)),"",VLOOKUP(Tableau13[[#This Row],[Code]],'Code Véhicule'!$A$4:$C$185,3,0))</f>
        <v>VOLVO</v>
      </c>
      <c r="E1332" s="159" t="str">
        <f>IF(ISNA(VLOOKUP(Tableau13[[#This Row],[Code]],'Code Véhicule'!$A$4:$D$185,4,0))," ",VLOOKUP(Tableau13[[#This Row],[Code]],'Code Véhicule'!$A$4:$D$185,4,0))</f>
        <v xml:space="preserve">17886-A-73 </v>
      </c>
      <c r="F1332" s="170"/>
      <c r="G1332" s="162" t="s">
        <v>525</v>
      </c>
      <c r="H1332" s="172" t="s">
        <v>560</v>
      </c>
      <c r="I1332" s="173" t="s">
        <v>780</v>
      </c>
      <c r="J1332" s="174" t="s">
        <v>2506</v>
      </c>
      <c r="K1332" s="170">
        <v>6965</v>
      </c>
      <c r="L1332" s="166">
        <v>120</v>
      </c>
      <c r="M1332" s="166">
        <v>120</v>
      </c>
      <c r="N1332" s="175">
        <v>45405</v>
      </c>
      <c r="O1332" s="168"/>
      <c r="P1332" s="168"/>
      <c r="Q1332" s="170" t="e">
        <f>MONTH([1]!Tableau13[[#This Row],[Date début]])</f>
        <v>#REF!</v>
      </c>
      <c r="R1332" s="171" t="e">
        <f>YEAR([1]!Tableau13[[#This Row],[Date début]])</f>
        <v>#REF!</v>
      </c>
    </row>
    <row r="1333" spans="1:18" ht="75">
      <c r="A1333" s="169">
        <v>45406</v>
      </c>
      <c r="B1333" s="170">
        <v>435</v>
      </c>
      <c r="C1333" s="160" t="str">
        <f>IF(ISNA(VLOOKUP(Tableau13[[#This Row],[Code]],'Code Véhicule'!$A$4:$C$185,2,0)),"",VLOOKUP(Tableau13[[#This Row],[Code]],'Code Véhicule'!$A$4:$C$185,2,0))</f>
        <v>Camion</v>
      </c>
      <c r="D1333" s="161" t="str">
        <f>IF(ISNA(VLOOKUP(Tableau13[[#This Row],[Code]],'Code Véhicule'!$A$4:$C$185,3,0)),"",VLOOKUP(Tableau13[[#This Row],[Code]],'Code Véhicule'!$A$4:$C$185,3,0))</f>
        <v>Mitsubishi</v>
      </c>
      <c r="E1333" s="159" t="str">
        <f>IF(ISNA(VLOOKUP(Tableau13[[#This Row],[Code]],'Code Véhicule'!$A$4:$D$185,4,0))," ",VLOOKUP(Tableau13[[#This Row],[Code]],'Code Véhicule'!$A$4:$D$185,4,0))</f>
        <v xml:space="preserve"> 11469-A-73</v>
      </c>
      <c r="F1333" s="170"/>
      <c r="G1333" s="162" t="s">
        <v>2391</v>
      </c>
      <c r="H1333" s="172" t="s">
        <v>610</v>
      </c>
      <c r="I1333" s="173" t="s">
        <v>304</v>
      </c>
      <c r="J1333" s="174" t="s">
        <v>2554</v>
      </c>
      <c r="K1333" s="170">
        <v>7198</v>
      </c>
      <c r="L1333" s="166">
        <v>2700</v>
      </c>
      <c r="M1333" s="166">
        <v>3240</v>
      </c>
      <c r="N1333" s="175">
        <v>45418</v>
      </c>
      <c r="O1333" s="168"/>
      <c r="P1333" s="168"/>
      <c r="Q1333" s="170" t="e">
        <f>MONTH([1]!Tableau13[[#This Row],[Date début]])</f>
        <v>#REF!</v>
      </c>
      <c r="R1333" s="171" t="e">
        <f>YEAR([1]!Tableau13[[#This Row],[Date début]])</f>
        <v>#REF!</v>
      </c>
    </row>
    <row r="1334" spans="1:18">
      <c r="A1334" s="169">
        <v>45407</v>
      </c>
      <c r="B1334" s="170">
        <v>413</v>
      </c>
      <c r="C1334" s="160" t="str">
        <f>IF(ISNA(VLOOKUP(Tableau13[[#This Row],[Code]],'Code Véhicule'!$A$4:$C$185,2,0)),"",VLOOKUP(Tableau13[[#This Row],[Code]],'Code Véhicule'!$A$4:$C$185,2,0))</f>
        <v>Chargeur</v>
      </c>
      <c r="D1334" s="161" t="str">
        <f>IF(ISNA(VLOOKUP(Tableau13[[#This Row],[Code]],'Code Véhicule'!$A$4:$C$185,3,0)),"",VLOOKUP(Tableau13[[#This Row],[Code]],'Code Véhicule'!$A$4:$C$185,3,0))</f>
        <v>Caterpillar</v>
      </c>
      <c r="E1334" s="159" t="str">
        <f>IF(ISNA(VLOOKUP(Tableau13[[#This Row],[Code]],'Code Véhicule'!$A$4:$D$185,4,0))," ",VLOOKUP(Tableau13[[#This Row],[Code]],'Code Véhicule'!$A$4:$D$185,4,0))</f>
        <v>-</v>
      </c>
      <c r="F1334" s="170"/>
      <c r="G1334" s="162" t="s">
        <v>2396</v>
      </c>
      <c r="H1334" s="172" t="s">
        <v>2446</v>
      </c>
      <c r="I1334" s="173" t="s">
        <v>304</v>
      </c>
      <c r="J1334" s="174" t="s">
        <v>2546</v>
      </c>
      <c r="K1334" s="170">
        <v>7017</v>
      </c>
      <c r="L1334" s="166">
        <v>180</v>
      </c>
      <c r="M1334" s="166">
        <v>180</v>
      </c>
      <c r="N1334" s="175">
        <v>45407</v>
      </c>
      <c r="O1334" s="168"/>
      <c r="P1334" s="168"/>
      <c r="Q1334" s="170" t="e">
        <f>MONTH([1]!Tableau13[[#This Row],[Date début]])</f>
        <v>#REF!</v>
      </c>
      <c r="R1334" s="171" t="e">
        <f>YEAR([1]!Tableau13[[#This Row],[Date début]])</f>
        <v>#REF!</v>
      </c>
    </row>
    <row r="1335" spans="1:18" ht="30">
      <c r="A1335" s="169">
        <v>45409</v>
      </c>
      <c r="B1335" s="170">
        <v>407</v>
      </c>
      <c r="C1335" s="160" t="str">
        <f>IF(ISNA(VLOOKUP(Tableau13[[#This Row],[Code]],'Code Véhicule'!$A$4:$C$185,2,0)),"",VLOOKUP(Tableau13[[#This Row],[Code]],'Code Véhicule'!$A$4:$C$185,2,0))</f>
        <v>Semi remorque</v>
      </c>
      <c r="D1335" s="161" t="str">
        <f>IF(ISNA(VLOOKUP(Tableau13[[#This Row],[Code]],'Code Véhicule'!$A$4:$C$185,3,0)),"",VLOOKUP(Tableau13[[#This Row],[Code]],'Code Véhicule'!$A$4:$C$185,3,0))</f>
        <v>MAN</v>
      </c>
      <c r="E1335" s="159" t="str">
        <f>IF(ISNA(VLOOKUP(Tableau13[[#This Row],[Code]],'Code Véhicule'!$A$4:$D$185,4,0))," ",VLOOKUP(Tableau13[[#This Row],[Code]],'Code Véhicule'!$A$4:$D$185,4,0))</f>
        <v>706-A-73</v>
      </c>
      <c r="F1335" s="170"/>
      <c r="G1335" s="162" t="s">
        <v>2396</v>
      </c>
      <c r="H1335" s="172" t="s">
        <v>2409</v>
      </c>
      <c r="I1335" s="173" t="s">
        <v>304</v>
      </c>
      <c r="J1335" s="174" t="s">
        <v>2549</v>
      </c>
      <c r="K1335" s="170">
        <v>7072</v>
      </c>
      <c r="L1335" s="166">
        <v>540</v>
      </c>
      <c r="M1335" s="166">
        <v>540</v>
      </c>
      <c r="N1335" s="175">
        <v>45409</v>
      </c>
      <c r="O1335" s="168"/>
      <c r="P1335" s="168"/>
      <c r="Q1335" s="170" t="e">
        <f>MONTH([1]!Tableau13[[#This Row],[Date début]])</f>
        <v>#REF!</v>
      </c>
      <c r="R1335" s="171" t="e">
        <f>YEAR([1]!Tableau13[[#This Row],[Date début]])</f>
        <v>#REF!</v>
      </c>
    </row>
    <row r="1336" spans="1:18">
      <c r="A1336" s="169">
        <v>45409</v>
      </c>
      <c r="B1336" s="170">
        <v>7</v>
      </c>
      <c r="C1336" s="160" t="str">
        <f>IF(ISNA(VLOOKUP(Tableau13[[#This Row],[Code]],'Code Véhicule'!$A$4:$C$185,2,0)),"",VLOOKUP(Tableau13[[#This Row],[Code]],'Code Véhicule'!$A$4:$C$185,2,0))</f>
        <v>Voiture de fonction</v>
      </c>
      <c r="D1336" s="161" t="str">
        <f>IF(ISNA(VLOOKUP(Tableau13[[#This Row],[Code]],'Code Véhicule'!$A$4:$C$185,3,0)),"",VLOOKUP(Tableau13[[#This Row],[Code]],'Code Véhicule'!$A$4:$C$185,3,0))</f>
        <v>Berlingo</v>
      </c>
      <c r="E1336" s="159" t="str">
        <f>IF(ISNA(VLOOKUP(Tableau13[[#This Row],[Code]],'Code Véhicule'!$A$4:$D$185,4,0))," ",VLOOKUP(Tableau13[[#This Row],[Code]],'Code Véhicule'!$A$4:$D$185,4,0))</f>
        <v>50313-A-6</v>
      </c>
      <c r="F1336" s="170"/>
      <c r="G1336" s="162" t="s">
        <v>2396</v>
      </c>
      <c r="H1336" s="172" t="s">
        <v>2519</v>
      </c>
      <c r="I1336" s="173" t="s">
        <v>304</v>
      </c>
      <c r="J1336" s="174" t="s">
        <v>2550</v>
      </c>
      <c r="K1336" s="170">
        <v>7073</v>
      </c>
      <c r="L1336" s="166">
        <v>1620</v>
      </c>
      <c r="M1336" s="166">
        <v>1620</v>
      </c>
      <c r="N1336" s="175">
        <v>45412</v>
      </c>
      <c r="O1336" s="168"/>
      <c r="P1336" s="168"/>
      <c r="Q1336" s="170" t="e">
        <f>MONTH([1]!Tableau13[[#This Row],[Date début]])</f>
        <v>#REF!</v>
      </c>
      <c r="R1336" s="171" t="e">
        <f>YEAR([1]!Tableau13[[#This Row],[Date début]])</f>
        <v>#REF!</v>
      </c>
    </row>
    <row r="1337" spans="1:18">
      <c r="A1337" s="169">
        <v>45413</v>
      </c>
      <c r="B1337" s="170">
        <v>429</v>
      </c>
      <c r="C1337" s="160" t="str">
        <f>IF(ISNA(VLOOKUP(Tableau13[[#This Row],[Code]],'Code Véhicule'!$A$4:$C$185,2,0)),"",VLOOKUP(Tableau13[[#This Row],[Code]],'Code Véhicule'!$A$4:$C$185,2,0))</f>
        <v>Chariot elevateur</v>
      </c>
      <c r="D1337" s="161" t="str">
        <f>IF(ISNA(VLOOKUP(Tableau13[[#This Row],[Code]],'Code Véhicule'!$A$4:$C$185,3,0)),"",VLOOKUP(Tableau13[[#This Row],[Code]],'Code Véhicule'!$A$4:$C$185,3,0))</f>
        <v>Fenwick HD30</v>
      </c>
      <c r="E1337" s="159" t="str">
        <f>IF(ISNA(VLOOKUP(Tableau13[[#This Row],[Code]],'Code Véhicule'!$A$4:$D$185,4,0))," ",VLOOKUP(Tableau13[[#This Row],[Code]],'Code Véhicule'!$A$4:$D$185,4,0))</f>
        <v>-</v>
      </c>
      <c r="F1337" s="170"/>
      <c r="G1337" s="162" t="s">
        <v>2396</v>
      </c>
      <c r="H1337" s="172" t="s">
        <v>2555</v>
      </c>
      <c r="I1337" s="173" t="s">
        <v>304</v>
      </c>
      <c r="J1337" s="174" t="s">
        <v>2556</v>
      </c>
      <c r="K1337" s="170">
        <v>7229</v>
      </c>
      <c r="L1337" s="166">
        <v>240</v>
      </c>
      <c r="M1337" s="166">
        <v>1620</v>
      </c>
      <c r="N1337" s="175">
        <v>45415</v>
      </c>
      <c r="O1337" s="168"/>
      <c r="P1337" s="168"/>
      <c r="Q1337" s="170" t="e">
        <f>MONTH([1]!Tableau13[[#This Row],[Date début]])</f>
        <v>#REF!</v>
      </c>
      <c r="R1337" s="171" t="e">
        <f>YEAR([1]!Tableau13[[#This Row],[Date début]])</f>
        <v>#REF!</v>
      </c>
    </row>
    <row r="1338" spans="1:18" ht="30">
      <c r="A1338" s="169">
        <v>45413</v>
      </c>
      <c r="B1338" s="170">
        <v>434</v>
      </c>
      <c r="C1338" s="160" t="str">
        <f>IF(ISNA(VLOOKUP(Tableau13[[#This Row],[Code]],'Code Véhicule'!$A$4:$C$185,2,0)),"",VLOOKUP(Tableau13[[#This Row],[Code]],'Code Véhicule'!$A$4:$C$185,2,0))</f>
        <v>Chariot elevateur</v>
      </c>
      <c r="D1338" s="161" t="str">
        <f>IF(ISNA(VLOOKUP(Tableau13[[#This Row],[Code]],'Code Véhicule'!$A$4:$C$185,3,0)),"",VLOOKUP(Tableau13[[#This Row],[Code]],'Code Véhicule'!$A$4:$C$185,3,0))</f>
        <v>Linde H30D</v>
      </c>
      <c r="E1338" s="159" t="str">
        <f>IF(ISNA(VLOOKUP(Tableau13[[#This Row],[Code]],'Code Véhicule'!$A$4:$D$185,4,0))," ",VLOOKUP(Tableau13[[#This Row],[Code]],'Code Véhicule'!$A$4:$D$185,4,0))</f>
        <v>-</v>
      </c>
      <c r="F1338" s="170"/>
      <c r="G1338" s="162" t="s">
        <v>2396</v>
      </c>
      <c r="H1338" s="172" t="s">
        <v>2097</v>
      </c>
      <c r="I1338" s="173" t="s">
        <v>780</v>
      </c>
      <c r="J1338" s="174" t="s">
        <v>2567</v>
      </c>
      <c r="K1338" s="170">
        <v>7534</v>
      </c>
      <c r="L1338" s="166">
        <v>5400</v>
      </c>
      <c r="M1338" s="166">
        <v>11800</v>
      </c>
      <c r="N1338" s="175">
        <v>45435</v>
      </c>
      <c r="O1338" s="168"/>
      <c r="P1338" s="168"/>
      <c r="Q1338" s="170" t="e">
        <f>MONTH([1]!Tableau13[[#This Row],[Date début]])</f>
        <v>#REF!</v>
      </c>
      <c r="R1338" s="171" t="e">
        <f>YEAR([1]!Tableau13[[#This Row],[Date début]])</f>
        <v>#REF!</v>
      </c>
    </row>
    <row r="1339" spans="1:18" ht="45">
      <c r="A1339" s="169">
        <v>45414</v>
      </c>
      <c r="B1339" s="170">
        <v>401</v>
      </c>
      <c r="C1339" s="160" t="str">
        <f>IF(ISNA(VLOOKUP(Tableau13[[#This Row],[Code]],'Code Véhicule'!$A$4:$C$185,2,0)),"",VLOOKUP(Tableau13[[#This Row],[Code]],'Code Véhicule'!$A$4:$C$185,2,0))</f>
        <v>Camion</v>
      </c>
      <c r="D1339" s="161" t="str">
        <f>IF(ISNA(VLOOKUP(Tableau13[[#This Row],[Code]],'Code Véhicule'!$A$4:$C$185,3,0)),"",VLOOKUP(Tableau13[[#This Row],[Code]],'Code Véhicule'!$A$4:$C$185,3,0))</f>
        <v>ISUZU</v>
      </c>
      <c r="E1339" s="159" t="str">
        <f>IF(ISNA(VLOOKUP(Tableau13[[#This Row],[Code]],'Code Véhicule'!$A$4:$D$185,4,0))," ",VLOOKUP(Tableau13[[#This Row],[Code]],'Code Véhicule'!$A$4:$D$185,4,0))</f>
        <v>26128-A-8</v>
      </c>
      <c r="F1339" s="170"/>
      <c r="G1339" s="162" t="s">
        <v>2396</v>
      </c>
      <c r="H1339" s="172" t="s">
        <v>2392</v>
      </c>
      <c r="I1339" s="173" t="s">
        <v>304</v>
      </c>
      <c r="J1339" s="174" t="s">
        <v>2551</v>
      </c>
      <c r="K1339" s="170">
        <v>7192</v>
      </c>
      <c r="L1339" s="166">
        <v>180</v>
      </c>
      <c r="M1339" s="166">
        <v>180</v>
      </c>
      <c r="N1339" s="175">
        <v>45414</v>
      </c>
      <c r="O1339" s="168"/>
      <c r="P1339" s="168"/>
      <c r="Q1339" s="170" t="e">
        <f>MONTH([1]!Tableau13[[#This Row],[Date début]])</f>
        <v>#REF!</v>
      </c>
      <c r="R1339" s="171" t="e">
        <f>YEAR([1]!Tableau13[[#This Row],[Date début]])</f>
        <v>#REF!</v>
      </c>
    </row>
    <row r="1340" spans="1:18" ht="30">
      <c r="A1340" s="169">
        <v>45414</v>
      </c>
      <c r="B1340" s="170">
        <v>438</v>
      </c>
      <c r="C1340" s="160" t="str">
        <f>IF(ISNA(VLOOKUP(Tableau13[[#This Row],[Code]],'Code Véhicule'!$A$4:$C$185,2,0)),"",VLOOKUP(Tableau13[[#This Row],[Code]],'Code Véhicule'!$A$4:$C$185,2,0))</f>
        <v>Semi remorque</v>
      </c>
      <c r="D1340" s="161" t="str">
        <f>IF(ISNA(VLOOKUP(Tableau13[[#This Row],[Code]],'Code Véhicule'!$A$4:$C$185,3,0)),"",VLOOKUP(Tableau13[[#This Row],[Code]],'Code Véhicule'!$A$4:$C$185,3,0))</f>
        <v>VOLVO</v>
      </c>
      <c r="E1340" s="159" t="str">
        <f>IF(ISNA(VLOOKUP(Tableau13[[#This Row],[Code]],'Code Véhicule'!$A$4:$D$185,4,0))," ",VLOOKUP(Tableau13[[#This Row],[Code]],'Code Véhicule'!$A$4:$D$185,4,0))</f>
        <v xml:space="preserve">17885-A-73 </v>
      </c>
      <c r="F1340" s="170"/>
      <c r="G1340" s="162" t="s">
        <v>2396</v>
      </c>
      <c r="H1340" s="172" t="s">
        <v>2300</v>
      </c>
      <c r="I1340" s="173" t="s">
        <v>304</v>
      </c>
      <c r="J1340" s="174" t="s">
        <v>2552</v>
      </c>
      <c r="K1340" s="170">
        <v>7193</v>
      </c>
      <c r="L1340" s="166">
        <v>1080</v>
      </c>
      <c r="M1340" s="166">
        <v>1080</v>
      </c>
      <c r="N1340" s="175">
        <v>45415</v>
      </c>
      <c r="O1340" s="168"/>
      <c r="P1340" s="168"/>
      <c r="Q1340" s="170" t="e">
        <f>MONTH([1]!Tableau13[[#This Row],[Date début]])</f>
        <v>#REF!</v>
      </c>
      <c r="R1340" s="171" t="e">
        <f>YEAR([1]!Tableau13[[#This Row],[Date début]])</f>
        <v>#REF!</v>
      </c>
    </row>
    <row r="1341" spans="1:18">
      <c r="A1341" s="169">
        <v>45414</v>
      </c>
      <c r="B1341" s="170">
        <v>401</v>
      </c>
      <c r="C1341" s="160" t="str">
        <f>IF(ISNA(VLOOKUP(Tableau13[[#This Row],[Code]],'Code Véhicule'!$A$4:$C$185,2,0)),"",VLOOKUP(Tableau13[[#This Row],[Code]],'Code Véhicule'!$A$4:$C$185,2,0))</f>
        <v>Camion</v>
      </c>
      <c r="D1341" s="161" t="str">
        <f>IF(ISNA(VLOOKUP(Tableau13[[#This Row],[Code]],'Code Véhicule'!$A$4:$C$185,3,0)),"",VLOOKUP(Tableau13[[#This Row],[Code]],'Code Véhicule'!$A$4:$C$185,3,0))</f>
        <v>ISUZU</v>
      </c>
      <c r="E1341" s="159" t="str">
        <f>IF(ISNA(VLOOKUP(Tableau13[[#This Row],[Code]],'Code Véhicule'!$A$4:$D$185,4,0))," ",VLOOKUP(Tableau13[[#This Row],[Code]],'Code Véhicule'!$A$4:$D$185,4,0))</f>
        <v>26128-A-8</v>
      </c>
      <c r="F1341" s="170"/>
      <c r="G1341" s="162" t="s">
        <v>634</v>
      </c>
      <c r="H1341" s="172" t="s">
        <v>560</v>
      </c>
      <c r="I1341" s="173" t="s">
        <v>304</v>
      </c>
      <c r="J1341" s="174" t="s">
        <v>2553</v>
      </c>
      <c r="K1341" s="170">
        <v>7197</v>
      </c>
      <c r="L1341" s="166">
        <v>540</v>
      </c>
      <c r="M1341" s="166">
        <v>540</v>
      </c>
      <c r="N1341" s="175">
        <v>45414</v>
      </c>
      <c r="O1341" s="168"/>
      <c r="P1341" s="168"/>
      <c r="Q1341" s="170" t="e">
        <f>MONTH([1]!Tableau13[[#This Row],[Date début]])</f>
        <v>#REF!</v>
      </c>
      <c r="R1341" s="171" t="e">
        <f>YEAR([1]!Tableau13[[#This Row],[Date début]])</f>
        <v>#REF!</v>
      </c>
    </row>
    <row r="1342" spans="1:18">
      <c r="A1342" s="169">
        <v>45414</v>
      </c>
      <c r="B1342" s="170">
        <v>427</v>
      </c>
      <c r="C1342" s="160" t="str">
        <f>IF(ISNA(VLOOKUP(Tableau13[[#This Row],[Code]],'Code Véhicule'!$A$4:$C$185,2,0)),"",VLOOKUP(Tableau13[[#This Row],[Code]],'Code Véhicule'!$A$4:$C$185,2,0))</f>
        <v>Chariot elevateur</v>
      </c>
      <c r="D1342" s="161" t="str">
        <f>IF(ISNA(VLOOKUP(Tableau13[[#This Row],[Code]],'Code Véhicule'!$A$4:$C$185,3,0)),"",VLOOKUP(Tableau13[[#This Row],[Code]],'Code Véhicule'!$A$4:$C$185,3,0))</f>
        <v>Linde H30</v>
      </c>
      <c r="E1342" s="159" t="str">
        <f>IF(ISNA(VLOOKUP(Tableau13[[#This Row],[Code]],'Code Véhicule'!$A$4:$D$185,4,0))," ",VLOOKUP(Tableau13[[#This Row],[Code]],'Code Véhicule'!$A$4:$D$185,4,0))</f>
        <v>-</v>
      </c>
      <c r="F1342" s="170"/>
      <c r="G1342" s="162" t="s">
        <v>2396</v>
      </c>
      <c r="H1342" s="172" t="s">
        <v>537</v>
      </c>
      <c r="I1342" s="173" t="s">
        <v>304</v>
      </c>
      <c r="J1342" s="174" t="s">
        <v>2557</v>
      </c>
      <c r="K1342" s="170">
        <v>7231</v>
      </c>
      <c r="L1342" s="166">
        <v>1080</v>
      </c>
      <c r="M1342" s="166">
        <v>3240</v>
      </c>
      <c r="N1342" s="175">
        <v>45417</v>
      </c>
      <c r="O1342" s="168"/>
      <c r="P1342" s="168"/>
      <c r="Q1342" s="170" t="e">
        <f>MONTH([1]!Tableau13[[#This Row],[Date début]])</f>
        <v>#REF!</v>
      </c>
      <c r="R1342" s="171" t="e">
        <f>YEAR([1]!Tableau13[[#This Row],[Date début]])</f>
        <v>#REF!</v>
      </c>
    </row>
    <row r="1343" spans="1:18">
      <c r="A1343" s="169">
        <v>45415</v>
      </c>
      <c r="B1343" s="170">
        <v>426</v>
      </c>
      <c r="C1343" s="160" t="str">
        <f>IF(ISNA(VLOOKUP(Tableau13[[#This Row],[Code]],'Code Véhicule'!$A$4:$C$185,2,0)),"",VLOOKUP(Tableau13[[#This Row],[Code]],'Code Véhicule'!$A$4:$C$185,2,0))</f>
        <v>Chariot elevateur</v>
      </c>
      <c r="D1343" s="161" t="str">
        <f>IF(ISNA(VLOOKUP(Tableau13[[#This Row],[Code]],'Code Véhicule'!$A$4:$C$185,3,0)),"",VLOOKUP(Tableau13[[#This Row],[Code]],'Code Véhicule'!$A$4:$C$185,3,0))</f>
        <v>Manitou MC 30</v>
      </c>
      <c r="E1343" s="159" t="str">
        <f>IF(ISNA(VLOOKUP(Tableau13[[#This Row],[Code]],'Code Véhicule'!$A$4:$D$185,4,0))," ",VLOOKUP(Tableau13[[#This Row],[Code]],'Code Véhicule'!$A$4:$D$185,4,0))</f>
        <v>-</v>
      </c>
      <c r="F1343" s="170"/>
      <c r="G1343" s="162" t="s">
        <v>2396</v>
      </c>
      <c r="H1343" s="172" t="s">
        <v>610</v>
      </c>
      <c r="I1343" s="173" t="s">
        <v>780</v>
      </c>
      <c r="J1343" s="174" t="s">
        <v>2558</v>
      </c>
      <c r="K1343" s="170">
        <v>7234</v>
      </c>
      <c r="L1343" s="166">
        <v>180</v>
      </c>
      <c r="M1343" s="166">
        <v>540</v>
      </c>
      <c r="N1343" s="175">
        <v>45415</v>
      </c>
      <c r="O1343" s="168"/>
      <c r="P1343" s="168"/>
      <c r="Q1343" s="170" t="e">
        <f>MONTH([1]!Tableau13[[#This Row],[Date début]])</f>
        <v>#REF!</v>
      </c>
      <c r="R1343" s="171" t="e">
        <f>YEAR([1]!Tableau13[[#This Row],[Date début]])</f>
        <v>#REF!</v>
      </c>
    </row>
    <row r="1344" spans="1:18" ht="30">
      <c r="A1344" s="169">
        <v>45415</v>
      </c>
      <c r="B1344" s="170">
        <v>438</v>
      </c>
      <c r="C1344" s="160" t="str">
        <f>IF(ISNA(VLOOKUP(Tableau13[[#This Row],[Code]],'Code Véhicule'!$A$4:$C$185,2,0)),"",VLOOKUP(Tableau13[[#This Row],[Code]],'Code Véhicule'!$A$4:$C$185,2,0))</f>
        <v>Semi remorque</v>
      </c>
      <c r="D1344" s="161" t="str">
        <f>IF(ISNA(VLOOKUP(Tableau13[[#This Row],[Code]],'Code Véhicule'!$A$4:$C$185,3,0)),"",VLOOKUP(Tableau13[[#This Row],[Code]],'Code Véhicule'!$A$4:$C$185,3,0))</f>
        <v>VOLVO</v>
      </c>
      <c r="E1344" s="159" t="str">
        <f>IF(ISNA(VLOOKUP(Tableau13[[#This Row],[Code]],'Code Véhicule'!$A$4:$D$185,4,0))," ",VLOOKUP(Tableau13[[#This Row],[Code]],'Code Véhicule'!$A$4:$D$185,4,0))</f>
        <v xml:space="preserve">17885-A-73 </v>
      </c>
      <c r="F1344" s="170"/>
      <c r="G1344" s="162" t="s">
        <v>2396</v>
      </c>
      <c r="H1344" s="172" t="s">
        <v>397</v>
      </c>
      <c r="I1344" s="173" t="s">
        <v>304</v>
      </c>
      <c r="J1344" s="174" t="s">
        <v>2559</v>
      </c>
      <c r="K1344" s="170">
        <v>7270</v>
      </c>
      <c r="L1344" s="166">
        <v>1620</v>
      </c>
      <c r="M1344" s="166">
        <v>1620</v>
      </c>
      <c r="N1344" s="175">
        <v>45418</v>
      </c>
      <c r="O1344" s="168"/>
      <c r="P1344" s="168"/>
      <c r="Q1344" s="170" t="e">
        <f>MONTH([1]!Tableau13[[#This Row],[Date début]])</f>
        <v>#REF!</v>
      </c>
      <c r="R1344" s="171" t="e">
        <f>YEAR([1]!Tableau13[[#This Row],[Date début]])</f>
        <v>#REF!</v>
      </c>
    </row>
    <row r="1345" spans="1:18">
      <c r="A1345" s="169">
        <v>45418</v>
      </c>
      <c r="B1345" s="170">
        <v>407</v>
      </c>
      <c r="C1345" s="160" t="str">
        <f>IF(ISNA(VLOOKUP(Tableau13[[#This Row],[Code]],'Code Véhicule'!$A$4:$C$185,2,0)),"",VLOOKUP(Tableau13[[#This Row],[Code]],'Code Véhicule'!$A$4:$C$185,2,0))</f>
        <v>Semi remorque</v>
      </c>
      <c r="D1345" s="161" t="str">
        <f>IF(ISNA(VLOOKUP(Tableau13[[#This Row],[Code]],'Code Véhicule'!$A$4:$C$185,3,0)),"",VLOOKUP(Tableau13[[#This Row],[Code]],'Code Véhicule'!$A$4:$C$185,3,0))</f>
        <v>MAN</v>
      </c>
      <c r="E1345" s="159" t="str">
        <f>IF(ISNA(VLOOKUP(Tableau13[[#This Row],[Code]],'Code Véhicule'!$A$4:$D$185,4,0))," ",VLOOKUP(Tableau13[[#This Row],[Code]],'Code Véhicule'!$A$4:$D$185,4,0))</f>
        <v>706-A-73</v>
      </c>
      <c r="F1345" s="170"/>
      <c r="G1345" s="162" t="s">
        <v>2396</v>
      </c>
      <c r="H1345" s="172" t="s">
        <v>334</v>
      </c>
      <c r="I1345" s="173" t="s">
        <v>304</v>
      </c>
      <c r="J1345" s="174" t="s">
        <v>2560</v>
      </c>
      <c r="K1345" s="170">
        <v>7284</v>
      </c>
      <c r="L1345" s="166">
        <v>180</v>
      </c>
      <c r="M1345" s="166">
        <v>180</v>
      </c>
      <c r="N1345" s="175">
        <v>45418</v>
      </c>
      <c r="O1345" s="168"/>
      <c r="P1345" s="168"/>
      <c r="Q1345" s="170" t="e">
        <f>MONTH([1]!Tableau13[[#This Row],[Date début]])</f>
        <v>#REF!</v>
      </c>
      <c r="R1345" s="171" t="e">
        <f>YEAR([1]!Tableau13[[#This Row],[Date début]])</f>
        <v>#REF!</v>
      </c>
    </row>
    <row r="1346" spans="1:18">
      <c r="A1346" s="169">
        <v>45418</v>
      </c>
      <c r="B1346" s="170">
        <v>410</v>
      </c>
      <c r="C1346" s="160" t="str">
        <f>IF(ISNA(VLOOKUP(Tableau13[[#This Row],[Code]],'Code Véhicule'!$A$4:$C$185,2,0)),"",VLOOKUP(Tableau13[[#This Row],[Code]],'Code Véhicule'!$A$4:$C$185,2,0))</f>
        <v>Semi remorque</v>
      </c>
      <c r="D1346" s="161" t="str">
        <f>IF(ISNA(VLOOKUP(Tableau13[[#This Row],[Code]],'Code Véhicule'!$A$4:$C$185,3,0)),"",VLOOKUP(Tableau13[[#This Row],[Code]],'Code Véhicule'!$A$4:$C$185,3,0))</f>
        <v>MAN</v>
      </c>
      <c r="E1346" s="159" t="str">
        <f>IF(ISNA(VLOOKUP(Tableau13[[#This Row],[Code]],'Code Véhicule'!$A$4:$D$185,4,0))," ",VLOOKUP(Tableau13[[#This Row],[Code]],'Code Véhicule'!$A$4:$D$185,4,0))</f>
        <v xml:space="preserve">28659-D-1 </v>
      </c>
      <c r="F1346" s="170"/>
      <c r="G1346" s="162" t="s">
        <v>2396</v>
      </c>
      <c r="H1346" s="172" t="s">
        <v>2561</v>
      </c>
      <c r="I1346" s="173" t="s">
        <v>304</v>
      </c>
      <c r="J1346" s="174" t="s">
        <v>2562</v>
      </c>
      <c r="K1346" s="170">
        <v>7344</v>
      </c>
      <c r="L1346" s="166">
        <v>1080</v>
      </c>
      <c r="M1346" s="166">
        <v>2160</v>
      </c>
      <c r="N1346" s="175">
        <v>45422</v>
      </c>
      <c r="O1346" s="168"/>
      <c r="P1346" s="168"/>
      <c r="Q1346" s="170" t="e">
        <f>MONTH([1]!Tableau13[[#This Row],[Date début]])</f>
        <v>#REF!</v>
      </c>
      <c r="R1346" s="171" t="e">
        <f>YEAR([1]!Tableau13[[#This Row],[Date début]])</f>
        <v>#REF!</v>
      </c>
    </row>
    <row r="1347" spans="1:18">
      <c r="A1347" s="169">
        <v>45419</v>
      </c>
      <c r="B1347" s="170">
        <v>436</v>
      </c>
      <c r="C1347" s="160" t="str">
        <f>IF(ISNA(VLOOKUP(Tableau13[[#This Row],[Code]],'Code Véhicule'!$A$4:$C$185,2,0)),"",VLOOKUP(Tableau13[[#This Row],[Code]],'Code Véhicule'!$A$4:$C$185,2,0))</f>
        <v>Camion</v>
      </c>
      <c r="D1347" s="161" t="str">
        <f>IF(ISNA(VLOOKUP(Tableau13[[#This Row],[Code]],'Code Véhicule'!$A$4:$C$185,3,0)),"",VLOOKUP(Tableau13[[#This Row],[Code]],'Code Véhicule'!$A$4:$C$185,3,0))</f>
        <v>Mitsubishi</v>
      </c>
      <c r="E1347" s="159" t="str">
        <f>IF(ISNA(VLOOKUP(Tableau13[[#This Row],[Code]],'Code Véhicule'!$A$4:$D$185,4,0))," ",VLOOKUP(Tableau13[[#This Row],[Code]],'Code Véhicule'!$A$4:$D$185,4,0))</f>
        <v>11470-A-73</v>
      </c>
      <c r="F1347" s="170"/>
      <c r="G1347" s="162" t="s">
        <v>2396</v>
      </c>
      <c r="H1347" s="172" t="s">
        <v>2392</v>
      </c>
      <c r="I1347" s="173" t="s">
        <v>302</v>
      </c>
      <c r="J1347" s="174" t="s">
        <v>528</v>
      </c>
      <c r="K1347" s="170">
        <v>7305</v>
      </c>
      <c r="L1347" s="166">
        <v>120</v>
      </c>
      <c r="M1347" s="166">
        <v>120</v>
      </c>
      <c r="N1347" s="175">
        <v>45419</v>
      </c>
      <c r="O1347" s="168"/>
      <c r="P1347" s="168"/>
      <c r="Q1347" s="170" t="e">
        <f>MONTH([1]!Tableau13[[#This Row],[Date début]])</f>
        <v>#REF!</v>
      </c>
      <c r="R1347" s="171" t="e">
        <f>YEAR([1]!Tableau13[[#This Row],[Date début]])</f>
        <v>#REF!</v>
      </c>
    </row>
    <row r="1348" spans="1:18">
      <c r="A1348" s="169">
        <v>45419</v>
      </c>
      <c r="B1348" s="170">
        <v>407</v>
      </c>
      <c r="C1348" s="160" t="str">
        <f>IF(ISNA(VLOOKUP(Tableau13[[#This Row],[Code]],'Code Véhicule'!$A$4:$C$185,2,0)),"",VLOOKUP(Tableau13[[#This Row],[Code]],'Code Véhicule'!$A$4:$C$185,2,0))</f>
        <v>Semi remorque</v>
      </c>
      <c r="D1348" s="161" t="str">
        <f>IF(ISNA(VLOOKUP(Tableau13[[#This Row],[Code]],'Code Véhicule'!$A$4:$C$185,3,0)),"",VLOOKUP(Tableau13[[#This Row],[Code]],'Code Véhicule'!$A$4:$C$185,3,0))</f>
        <v>MAN</v>
      </c>
      <c r="E1348" s="159" t="str">
        <f>IF(ISNA(VLOOKUP(Tableau13[[#This Row],[Code]],'Code Véhicule'!$A$4:$D$185,4,0))," ",VLOOKUP(Tableau13[[#This Row],[Code]],'Code Véhicule'!$A$4:$D$185,4,0))</f>
        <v>706-A-73</v>
      </c>
      <c r="F1348" s="170"/>
      <c r="G1348" s="162" t="s">
        <v>2396</v>
      </c>
      <c r="H1348" s="172" t="s">
        <v>774</v>
      </c>
      <c r="I1348" s="173" t="s">
        <v>304</v>
      </c>
      <c r="J1348" s="174" t="s">
        <v>2563</v>
      </c>
      <c r="K1348" s="170">
        <v>7345</v>
      </c>
      <c r="L1348" s="166">
        <v>540</v>
      </c>
      <c r="M1348" s="166">
        <v>1620</v>
      </c>
      <c r="N1348" s="175">
        <v>45422</v>
      </c>
      <c r="O1348" s="168"/>
      <c r="P1348" s="168"/>
      <c r="Q1348" s="170" t="e">
        <f>MONTH([1]!Tableau13[[#This Row],[Date début]])</f>
        <v>#REF!</v>
      </c>
      <c r="R1348" s="171" t="e">
        <f>YEAR([1]!Tableau13[[#This Row],[Date début]])</f>
        <v>#REF!</v>
      </c>
    </row>
    <row r="1349" spans="1:18">
      <c r="A1349" s="169">
        <v>45420</v>
      </c>
      <c r="B1349" s="170">
        <v>471</v>
      </c>
      <c r="C1349" s="160" t="str">
        <f>IF(ISNA(VLOOKUP(Tableau13[[#This Row],[Code]],'Code Véhicule'!$A$4:$C$185,2,0)),"",VLOOKUP(Tableau13[[#This Row],[Code]],'Code Véhicule'!$A$4:$C$185,2,0))</f>
        <v>Bus de transport</v>
      </c>
      <c r="D1349" s="161" t="str">
        <f>IF(ISNA(VLOOKUP(Tableau13[[#This Row],[Code]],'Code Véhicule'!$A$4:$C$185,3,0)),"",VLOOKUP(Tableau13[[#This Row],[Code]],'Code Véhicule'!$A$4:$C$185,3,0))</f>
        <v xml:space="preserve">Hyundai County </v>
      </c>
      <c r="E1349" s="159" t="str">
        <f>IF(ISNA(VLOOKUP(Tableau13[[#This Row],[Code]],'Code Véhicule'!$A$4:$D$185,4,0))," ",VLOOKUP(Tableau13[[#This Row],[Code]],'Code Véhicule'!$A$4:$D$185,4,0))</f>
        <v>18516-A-73</v>
      </c>
      <c r="F1349" s="170"/>
      <c r="G1349" s="162" t="s">
        <v>2396</v>
      </c>
      <c r="H1349" s="172" t="s">
        <v>2472</v>
      </c>
      <c r="I1349" s="173" t="s">
        <v>304</v>
      </c>
      <c r="J1349" s="174" t="s">
        <v>2499</v>
      </c>
      <c r="K1349" s="170">
        <v>7343</v>
      </c>
      <c r="L1349" s="166">
        <v>180</v>
      </c>
      <c r="M1349" s="166">
        <v>540</v>
      </c>
      <c r="N1349" s="175">
        <v>45420</v>
      </c>
      <c r="O1349" s="168"/>
      <c r="P1349" s="168"/>
      <c r="Q1349" s="170" t="e">
        <f>MONTH([1]!Tableau13[[#This Row],[Date début]])</f>
        <v>#REF!</v>
      </c>
      <c r="R1349" s="171" t="e">
        <f>YEAR([1]!Tableau13[[#This Row],[Date début]])</f>
        <v>#REF!</v>
      </c>
    </row>
    <row r="1350" spans="1:18">
      <c r="A1350" s="169">
        <v>45425</v>
      </c>
      <c r="B1350" s="170">
        <v>479</v>
      </c>
      <c r="C1350" s="160" t="str">
        <f>IF(ISNA(VLOOKUP(Tableau13[[#This Row],[Code]],'Code Véhicule'!$A$4:$C$185,2,0)),"",VLOOKUP(Tableau13[[#This Row],[Code]],'Code Véhicule'!$A$4:$C$185,2,0))</f>
        <v>Bus de transport</v>
      </c>
      <c r="D1350" s="161" t="str">
        <f>IF(ISNA(VLOOKUP(Tableau13[[#This Row],[Code]],'Code Véhicule'!$A$4:$C$185,3,0)),"",VLOOKUP(Tableau13[[#This Row],[Code]],'Code Véhicule'!$A$4:$C$185,3,0))</f>
        <v>Hyundai County</v>
      </c>
      <c r="E1350" s="159" t="str">
        <f>IF(ISNA(VLOOKUP(Tableau13[[#This Row],[Code]],'Code Véhicule'!$A$4:$D$185,4,0))," ",VLOOKUP(Tableau13[[#This Row],[Code]],'Code Véhicule'!$A$4:$D$185,4,0))</f>
        <v>22772-A-73</v>
      </c>
      <c r="F1350" s="170"/>
      <c r="G1350" s="162" t="s">
        <v>2396</v>
      </c>
      <c r="H1350" s="172" t="s">
        <v>610</v>
      </c>
      <c r="I1350" s="173" t="s">
        <v>780</v>
      </c>
      <c r="J1350" s="174" t="s">
        <v>2564</v>
      </c>
      <c r="K1350" s="170">
        <v>7460</v>
      </c>
      <c r="L1350" s="166">
        <v>540</v>
      </c>
      <c r="M1350" s="166">
        <v>540</v>
      </c>
      <c r="N1350" s="175">
        <v>45425</v>
      </c>
      <c r="O1350" s="168"/>
      <c r="P1350" s="168"/>
      <c r="Q1350" s="170" t="e">
        <f>MONTH([1]!Tableau13[[#This Row],[Date début]])</f>
        <v>#REF!</v>
      </c>
      <c r="R1350" s="171" t="e">
        <f>YEAR([1]!Tableau13[[#This Row],[Date début]])</f>
        <v>#REF!</v>
      </c>
    </row>
    <row r="1351" spans="1:18">
      <c r="A1351" s="169">
        <v>45425</v>
      </c>
      <c r="B1351" s="170">
        <v>410</v>
      </c>
      <c r="C1351" s="160" t="str">
        <f>IF(ISNA(VLOOKUP(Tableau13[[#This Row],[Code]],'Code Véhicule'!$A$4:$C$185,2,0)),"",VLOOKUP(Tableau13[[#This Row],[Code]],'Code Véhicule'!$A$4:$C$185,2,0))</f>
        <v>Semi remorque</v>
      </c>
      <c r="D1351" s="161" t="str">
        <f>IF(ISNA(VLOOKUP(Tableau13[[#This Row],[Code]],'Code Véhicule'!$A$4:$C$185,3,0)),"",VLOOKUP(Tableau13[[#This Row],[Code]],'Code Véhicule'!$A$4:$C$185,3,0))</f>
        <v>MAN</v>
      </c>
      <c r="E1351" s="159" t="str">
        <f>IF(ISNA(VLOOKUP(Tableau13[[#This Row],[Code]],'Code Véhicule'!$A$4:$D$185,4,0))," ",VLOOKUP(Tableau13[[#This Row],[Code]],'Code Véhicule'!$A$4:$D$185,4,0))</f>
        <v xml:space="preserve">28659-D-1 </v>
      </c>
      <c r="F1351" s="170"/>
      <c r="G1351" s="162" t="s">
        <v>2396</v>
      </c>
      <c r="H1351" s="172" t="s">
        <v>2288</v>
      </c>
      <c r="I1351" s="173" t="s">
        <v>304</v>
      </c>
      <c r="J1351" s="174" t="s">
        <v>2565</v>
      </c>
      <c r="K1351" s="170">
        <v>7462</v>
      </c>
      <c r="L1351" s="166">
        <v>1620</v>
      </c>
      <c r="M1351" s="166">
        <v>1620</v>
      </c>
      <c r="N1351" s="175">
        <v>45428</v>
      </c>
      <c r="O1351" s="168"/>
      <c r="P1351" s="168"/>
      <c r="Q1351" s="170" t="e">
        <f>MONTH([1]!Tableau13[[#This Row],[Date début]])</f>
        <v>#REF!</v>
      </c>
      <c r="R1351" s="171" t="e">
        <f>YEAR([1]!Tableau13[[#This Row],[Date début]])</f>
        <v>#REF!</v>
      </c>
    </row>
    <row r="1352" spans="1:18">
      <c r="A1352" s="169">
        <v>45425</v>
      </c>
      <c r="B1352" s="170">
        <v>413</v>
      </c>
      <c r="C1352" s="160" t="str">
        <f>IF(ISNA(VLOOKUP(Tableau13[[#This Row],[Code]],'Code Véhicule'!$A$4:$C$185,2,0)),"",VLOOKUP(Tableau13[[#This Row],[Code]],'Code Véhicule'!$A$4:$C$185,2,0))</f>
        <v>Chargeur</v>
      </c>
      <c r="D1352" s="161" t="str">
        <f>IF(ISNA(VLOOKUP(Tableau13[[#This Row],[Code]],'Code Véhicule'!$A$4:$C$185,3,0)),"",VLOOKUP(Tableau13[[#This Row],[Code]],'Code Véhicule'!$A$4:$C$185,3,0))</f>
        <v>Caterpillar</v>
      </c>
      <c r="E1352" s="159" t="str">
        <f>IF(ISNA(VLOOKUP(Tableau13[[#This Row],[Code]],'Code Véhicule'!$A$4:$D$185,4,0))," ",VLOOKUP(Tableau13[[#This Row],[Code]],'Code Véhicule'!$A$4:$D$185,4,0))</f>
        <v>-</v>
      </c>
      <c r="F1352" s="170"/>
      <c r="G1352" s="162" t="s">
        <v>525</v>
      </c>
      <c r="H1352" s="172" t="s">
        <v>2446</v>
      </c>
      <c r="I1352" s="173" t="s">
        <v>304</v>
      </c>
      <c r="J1352" s="174" t="s">
        <v>2566</v>
      </c>
      <c r="K1352" s="170">
        <v>7467</v>
      </c>
      <c r="L1352" s="166">
        <v>120</v>
      </c>
      <c r="M1352" s="166">
        <v>120</v>
      </c>
      <c r="N1352" s="175">
        <v>45425</v>
      </c>
      <c r="O1352" s="168"/>
      <c r="P1352" s="168"/>
      <c r="Q1352" s="170" t="e">
        <f>MONTH([1]!Tableau13[[#This Row],[Date début]])</f>
        <v>#REF!</v>
      </c>
      <c r="R1352" s="171" t="e">
        <f>YEAR([1]!Tableau13[[#This Row],[Date début]])</f>
        <v>#REF!</v>
      </c>
    </row>
    <row r="1353" spans="1:18">
      <c r="A1353" s="169">
        <v>45426</v>
      </c>
      <c r="B1353" s="170">
        <v>410</v>
      </c>
      <c r="C1353" s="160" t="str">
        <f>IF(ISNA(VLOOKUP(Tableau13[[#This Row],[Code]],'Code Véhicule'!$A$4:$C$185,2,0)),"",VLOOKUP(Tableau13[[#This Row],[Code]],'Code Véhicule'!$A$4:$C$185,2,0))</f>
        <v>Semi remorque</v>
      </c>
      <c r="D1353" s="161" t="str">
        <f>IF(ISNA(VLOOKUP(Tableau13[[#This Row],[Code]],'Code Véhicule'!$A$4:$C$185,3,0)),"",VLOOKUP(Tableau13[[#This Row],[Code]],'Code Véhicule'!$A$4:$C$185,3,0))</f>
        <v>MAN</v>
      </c>
      <c r="E1353" s="159" t="str">
        <f>IF(ISNA(VLOOKUP(Tableau13[[#This Row],[Code]],'Code Véhicule'!$A$4:$D$185,4,0))," ",VLOOKUP(Tableau13[[#This Row],[Code]],'Code Véhicule'!$A$4:$D$185,4,0))</f>
        <v xml:space="preserve">28659-D-1 </v>
      </c>
      <c r="F1353" s="170"/>
      <c r="G1353" s="162" t="s">
        <v>525</v>
      </c>
      <c r="H1353" s="172" t="s">
        <v>560</v>
      </c>
      <c r="I1353" s="173" t="s">
        <v>780</v>
      </c>
      <c r="J1353" s="174" t="s">
        <v>2506</v>
      </c>
      <c r="K1353" s="170">
        <v>7503</v>
      </c>
      <c r="L1353" s="166">
        <v>120</v>
      </c>
      <c r="M1353" s="166">
        <v>120</v>
      </c>
      <c r="N1353" s="175">
        <v>45426</v>
      </c>
      <c r="O1353" s="168"/>
      <c r="P1353" s="168"/>
      <c r="Q1353" s="170" t="e">
        <f>MONTH([1]!Tableau13[[#This Row],[Date début]])</f>
        <v>#REF!</v>
      </c>
      <c r="R1353" s="171" t="e">
        <f>YEAR([1]!Tableau13[[#This Row],[Date début]])</f>
        <v>#REF!</v>
      </c>
    </row>
    <row r="1354" spans="1:18" ht="30">
      <c r="A1354" s="169">
        <v>45428</v>
      </c>
      <c r="B1354" s="170">
        <v>439</v>
      </c>
      <c r="C1354" s="160" t="str">
        <f>IF(ISNA(VLOOKUP(Tableau13[[#This Row],[Code]],'Code Véhicule'!$A$4:$C$185,2,0)),"",VLOOKUP(Tableau13[[#This Row],[Code]],'Code Véhicule'!$A$4:$C$185,2,0))</f>
        <v>Semi remorque</v>
      </c>
      <c r="D1354" s="161" t="str">
        <f>IF(ISNA(VLOOKUP(Tableau13[[#This Row],[Code]],'Code Véhicule'!$A$4:$C$185,3,0)),"",VLOOKUP(Tableau13[[#This Row],[Code]],'Code Véhicule'!$A$4:$C$185,3,0))</f>
        <v>VOLVO</v>
      </c>
      <c r="E1354" s="159" t="str">
        <f>IF(ISNA(VLOOKUP(Tableau13[[#This Row],[Code]],'Code Véhicule'!$A$4:$D$185,4,0))," ",VLOOKUP(Tableau13[[#This Row],[Code]],'Code Véhicule'!$A$4:$D$185,4,0))</f>
        <v xml:space="preserve">17886-A-73 </v>
      </c>
      <c r="F1354" s="170"/>
      <c r="G1354" s="162" t="s">
        <v>2396</v>
      </c>
      <c r="H1354" s="172" t="s">
        <v>610</v>
      </c>
      <c r="I1354" s="173" t="s">
        <v>780</v>
      </c>
      <c r="J1354" s="174" t="s">
        <v>2568</v>
      </c>
      <c r="K1354" s="170">
        <v>7630</v>
      </c>
      <c r="L1354" s="166">
        <v>2700</v>
      </c>
      <c r="M1354" s="166">
        <v>5240</v>
      </c>
      <c r="N1354" s="175">
        <v>45434</v>
      </c>
      <c r="O1354" s="168"/>
      <c r="P1354" s="168"/>
      <c r="Q1354" s="170" t="e">
        <f>MONTH([1]!Tableau13[[#This Row],[Date début]])</f>
        <v>#REF!</v>
      </c>
      <c r="R1354" s="171" t="e">
        <f>YEAR([1]!Tableau13[[#This Row],[Date début]])</f>
        <v>#REF!</v>
      </c>
    </row>
    <row r="1355" spans="1:18" ht="30">
      <c r="A1355" s="169">
        <v>45430</v>
      </c>
      <c r="B1355" s="170">
        <v>471</v>
      </c>
      <c r="C1355" s="160" t="str">
        <f>IF(ISNA(VLOOKUP(Tableau13[[#This Row],[Code]],'Code Véhicule'!$A$4:$C$185,2,0)),"",VLOOKUP(Tableau13[[#This Row],[Code]],'Code Véhicule'!$A$4:$C$185,2,0))</f>
        <v>Bus de transport</v>
      </c>
      <c r="D1355" s="161" t="str">
        <f>IF(ISNA(VLOOKUP(Tableau13[[#This Row],[Code]],'Code Véhicule'!$A$4:$C$185,3,0)),"",VLOOKUP(Tableau13[[#This Row],[Code]],'Code Véhicule'!$A$4:$C$185,3,0))</f>
        <v xml:space="preserve">Hyundai County </v>
      </c>
      <c r="E1355" s="159" t="str">
        <f>IF(ISNA(VLOOKUP(Tableau13[[#This Row],[Code]],'Code Véhicule'!$A$4:$D$185,4,0))," ",VLOOKUP(Tableau13[[#This Row],[Code]],'Code Véhicule'!$A$4:$D$185,4,0))</f>
        <v>18516-A-73</v>
      </c>
      <c r="F1355" s="170"/>
      <c r="G1355" s="162" t="s">
        <v>2396</v>
      </c>
      <c r="H1355" s="162" t="s">
        <v>610</v>
      </c>
      <c r="I1355" s="173" t="s">
        <v>304</v>
      </c>
      <c r="J1355" s="174" t="s">
        <v>2569</v>
      </c>
      <c r="K1355" s="170">
        <v>7632</v>
      </c>
      <c r="L1355" s="166">
        <v>540</v>
      </c>
      <c r="M1355" s="166">
        <v>540</v>
      </c>
      <c r="N1355" s="175">
        <v>45430</v>
      </c>
      <c r="O1355" s="168"/>
      <c r="P1355" s="168"/>
      <c r="Q1355" s="170" t="e">
        <f>MONTH([1]!Tableau13[[#This Row],[Date début]])</f>
        <v>#REF!</v>
      </c>
      <c r="R1355" s="171" t="e">
        <f>YEAR([1]!Tableau13[[#This Row],[Date début]])</f>
        <v>#REF!</v>
      </c>
    </row>
    <row r="1356" spans="1:18" ht="30">
      <c r="A1356" s="169">
        <v>45434</v>
      </c>
      <c r="B1356" s="170">
        <v>410</v>
      </c>
      <c r="C1356" s="160" t="str">
        <f>IF(ISNA(VLOOKUP(Tableau13[[#This Row],[Code]],'Code Véhicule'!$A$4:$C$185,2,0)),"",VLOOKUP(Tableau13[[#This Row],[Code]],'Code Véhicule'!$A$4:$C$185,2,0))</f>
        <v>Semi remorque</v>
      </c>
      <c r="D1356" s="161" t="str">
        <f>IF(ISNA(VLOOKUP(Tableau13[[#This Row],[Code]],'Code Véhicule'!$A$4:$C$185,3,0)),"",VLOOKUP(Tableau13[[#This Row],[Code]],'Code Véhicule'!$A$4:$C$185,3,0))</f>
        <v>MAN</v>
      </c>
      <c r="E1356" s="159" t="str">
        <f>IF(ISNA(VLOOKUP(Tableau13[[#This Row],[Code]],'Code Véhicule'!$A$4:$D$185,4,0))," ",VLOOKUP(Tableau13[[#This Row],[Code]],'Code Véhicule'!$A$4:$D$185,4,0))</f>
        <v xml:space="preserve">28659-D-1 </v>
      </c>
      <c r="F1356" s="170"/>
      <c r="G1356" s="162" t="s">
        <v>2396</v>
      </c>
      <c r="H1356" s="162" t="s">
        <v>2392</v>
      </c>
      <c r="I1356" s="173" t="s">
        <v>302</v>
      </c>
      <c r="J1356" s="174" t="s">
        <v>2405</v>
      </c>
      <c r="K1356" s="170">
        <v>7715</v>
      </c>
      <c r="L1356" s="166">
        <v>240</v>
      </c>
      <c r="M1356" s="166">
        <v>240</v>
      </c>
      <c r="N1356" s="175">
        <v>45434</v>
      </c>
      <c r="O1356" s="168"/>
      <c r="P1356" s="168"/>
      <c r="Q1356" s="170" t="e">
        <f>MONTH([1]!Tableau13[[#This Row],[Date début]])</f>
        <v>#REF!</v>
      </c>
      <c r="R1356" s="171" t="e">
        <f>YEAR([1]!Tableau13[[#This Row],[Date début]])</f>
        <v>#REF!</v>
      </c>
    </row>
    <row r="1357" spans="1:18">
      <c r="A1357" s="169">
        <v>45437</v>
      </c>
      <c r="B1357" s="170">
        <v>417</v>
      </c>
      <c r="C1357" s="160" t="str">
        <f>IF(ISNA(VLOOKUP(Tableau13[[#This Row],[Code]],'Code Véhicule'!$A$4:$C$185,2,0)),"",VLOOKUP(Tableau13[[#This Row],[Code]],'Code Véhicule'!$A$4:$C$185,2,0))</f>
        <v>Voiture de fonction</v>
      </c>
      <c r="D1357" s="161" t="str">
        <f>IF(ISNA(VLOOKUP(Tableau13[[#This Row],[Code]],'Code Véhicule'!$A$4:$C$185,3,0)),"",VLOOKUP(Tableau13[[#This Row],[Code]],'Code Véhicule'!$A$4:$C$185,3,0))</f>
        <v>Berlingo</v>
      </c>
      <c r="E1357" s="159" t="str">
        <f>IF(ISNA(VLOOKUP(Tableau13[[#This Row],[Code]],'Code Véhicule'!$A$4:$D$185,4,0))," ",VLOOKUP(Tableau13[[#This Row],[Code]],'Code Véhicule'!$A$4:$D$185,4,0))</f>
        <v>981-A-73</v>
      </c>
      <c r="F1357" s="170"/>
      <c r="G1357" s="162" t="s">
        <v>525</v>
      </c>
      <c r="H1357" s="162" t="s">
        <v>560</v>
      </c>
      <c r="I1357" s="173" t="s">
        <v>304</v>
      </c>
      <c r="J1357" s="174" t="s">
        <v>2506</v>
      </c>
      <c r="K1357" s="170">
        <v>7787</v>
      </c>
      <c r="L1357" s="166">
        <v>120</v>
      </c>
      <c r="M1357" s="166">
        <v>120</v>
      </c>
      <c r="N1357" s="175">
        <v>45437</v>
      </c>
      <c r="O1357" s="168"/>
      <c r="P1357" s="168"/>
      <c r="Q1357" s="170" t="e">
        <f>MONTH([1]!Tableau13[[#This Row],[Date début]])</f>
        <v>#REF!</v>
      </c>
      <c r="R1357" s="171" t="e">
        <f>YEAR([1]!Tableau13[[#This Row],[Date début]])</f>
        <v>#REF!</v>
      </c>
    </row>
    <row r="1358" spans="1:18">
      <c r="A1358" s="169">
        <v>45437</v>
      </c>
      <c r="B1358" s="170">
        <v>419</v>
      </c>
      <c r="C1358" s="160" t="str">
        <f>IF(ISNA(VLOOKUP(Tableau13[[#This Row],[Code]],'Code Véhicule'!$A$4:$C$185,2,0)),"",VLOOKUP(Tableau13[[#This Row],[Code]],'Code Véhicule'!$A$4:$C$185,2,0))</f>
        <v>Voiture de fonction</v>
      </c>
      <c r="D1358" s="161" t="str">
        <f>IF(ISNA(VLOOKUP(Tableau13[[#This Row],[Code]],'Code Véhicule'!$A$4:$C$185,3,0)),"",VLOOKUP(Tableau13[[#This Row],[Code]],'Code Véhicule'!$A$4:$C$185,3,0))</f>
        <v>kangoo</v>
      </c>
      <c r="E1358" s="159" t="str">
        <f>IF(ISNA(VLOOKUP(Tableau13[[#This Row],[Code]],'Code Véhicule'!$A$4:$D$185,4,0))," ",VLOOKUP(Tableau13[[#This Row],[Code]],'Code Véhicule'!$A$4:$D$185,4,0))</f>
        <v>4812-A-73</v>
      </c>
      <c r="F1358" s="170"/>
      <c r="G1358" s="162" t="s">
        <v>525</v>
      </c>
      <c r="H1358" s="162" t="s">
        <v>2453</v>
      </c>
      <c r="I1358" s="173" t="s">
        <v>304</v>
      </c>
      <c r="J1358" s="174" t="s">
        <v>2570</v>
      </c>
      <c r="K1358" s="170">
        <v>7784</v>
      </c>
      <c r="L1358" s="166">
        <v>120</v>
      </c>
      <c r="M1358" s="166">
        <v>120</v>
      </c>
      <c r="N1358" s="175">
        <v>45437</v>
      </c>
      <c r="O1358" s="168"/>
      <c r="P1358" s="168"/>
      <c r="Q1358" s="170" t="e">
        <f>MONTH([1]!Tableau13[[#This Row],[Date début]])</f>
        <v>#REF!</v>
      </c>
      <c r="R1358" s="171" t="e">
        <f>YEAR([1]!Tableau13[[#This Row],[Date début]])</f>
        <v>#REF!</v>
      </c>
    </row>
    <row r="1359" spans="1:18" ht="30">
      <c r="A1359" s="169">
        <v>45439</v>
      </c>
      <c r="B1359" s="170">
        <v>433</v>
      </c>
      <c r="C1359" s="160" t="str">
        <f>IF(ISNA(VLOOKUP(Tableau13[[#This Row],[Code]],'Code Véhicule'!$A$4:$C$185,2,0)),"",VLOOKUP(Tableau13[[#This Row],[Code]],'Code Véhicule'!$A$4:$C$185,2,0))</f>
        <v>Voiture de fonction</v>
      </c>
      <c r="D1359" s="161" t="str">
        <f>IF(ISNA(VLOOKUP(Tableau13[[#This Row],[Code]],'Code Véhicule'!$A$4:$C$185,3,0)),"",VLOOKUP(Tableau13[[#This Row],[Code]],'Code Véhicule'!$A$4:$C$185,3,0))</f>
        <v>Berlingo</v>
      </c>
      <c r="E1359" s="159" t="str">
        <f>IF(ISNA(VLOOKUP(Tableau13[[#This Row],[Code]],'Code Véhicule'!$A$4:$D$185,4,0))," ",VLOOKUP(Tableau13[[#This Row],[Code]],'Code Véhicule'!$A$4:$D$185,4,0))</f>
        <v>10551-A-73</v>
      </c>
      <c r="F1359" s="170"/>
      <c r="G1359" s="162" t="s">
        <v>2396</v>
      </c>
      <c r="H1359" s="162" t="s">
        <v>2392</v>
      </c>
      <c r="I1359" s="173" t="s">
        <v>302</v>
      </c>
      <c r="J1359" s="174" t="s">
        <v>2571</v>
      </c>
      <c r="K1359" s="170">
        <v>7816</v>
      </c>
      <c r="L1359" s="166">
        <v>120</v>
      </c>
      <c r="M1359" s="166">
        <v>120</v>
      </c>
      <c r="N1359" s="175">
        <v>45439</v>
      </c>
      <c r="O1359" s="168"/>
      <c r="P1359" s="168"/>
      <c r="Q1359" s="170" t="e">
        <f>MONTH([1]!Tableau13[[#This Row],[Date début]])</f>
        <v>#REF!</v>
      </c>
      <c r="R1359" s="171" t="e">
        <f>YEAR([1]!Tableau13[[#This Row],[Date début]])</f>
        <v>#REF!</v>
      </c>
    </row>
    <row r="1360" spans="1:18" ht="30">
      <c r="A1360" s="169">
        <v>45439</v>
      </c>
      <c r="B1360" s="170">
        <v>439</v>
      </c>
      <c r="C1360" s="160" t="str">
        <f>IF(ISNA(VLOOKUP(Tableau13[[#This Row],[Code]],'Code Véhicule'!$A$4:$C$185,2,0)),"",VLOOKUP(Tableau13[[#This Row],[Code]],'Code Véhicule'!$A$4:$C$185,2,0))</f>
        <v>Semi remorque</v>
      </c>
      <c r="D1360" s="161" t="str">
        <f>IF(ISNA(VLOOKUP(Tableau13[[#This Row],[Code]],'Code Véhicule'!$A$4:$C$185,3,0)),"",VLOOKUP(Tableau13[[#This Row],[Code]],'Code Véhicule'!$A$4:$C$185,3,0))</f>
        <v>VOLVO</v>
      </c>
      <c r="E1360" s="159" t="str">
        <f>IF(ISNA(VLOOKUP(Tableau13[[#This Row],[Code]],'Code Véhicule'!$A$4:$D$185,4,0))," ",VLOOKUP(Tableau13[[#This Row],[Code]],'Code Véhicule'!$A$4:$D$185,4,0))</f>
        <v xml:space="preserve">17886-A-73 </v>
      </c>
      <c r="F1360" s="170"/>
      <c r="G1360" s="162" t="s">
        <v>2396</v>
      </c>
      <c r="H1360" s="162" t="s">
        <v>610</v>
      </c>
      <c r="I1360" s="173" t="s">
        <v>780</v>
      </c>
      <c r="J1360" s="174" t="s">
        <v>2572</v>
      </c>
      <c r="K1360" s="170">
        <v>7822</v>
      </c>
      <c r="L1360" s="166">
        <v>120</v>
      </c>
      <c r="M1360" s="166">
        <v>120</v>
      </c>
      <c r="N1360" s="175">
        <v>45439</v>
      </c>
      <c r="O1360" s="168"/>
      <c r="P1360" s="168"/>
      <c r="Q1360" s="170" t="e">
        <f>MONTH([1]!Tableau13[[#This Row],[Date début]])</f>
        <v>#REF!</v>
      </c>
      <c r="R1360" s="171" t="e">
        <f>YEAR([1]!Tableau13[[#This Row],[Date début]])</f>
        <v>#REF!</v>
      </c>
    </row>
    <row r="1361" spans="1:18">
      <c r="A1361" s="169">
        <v>45443</v>
      </c>
      <c r="B1361" s="170">
        <v>409</v>
      </c>
      <c r="C1361" s="160" t="str">
        <f>IF(ISNA(VLOOKUP(Tableau13[[#This Row],[Code]],'Code Véhicule'!$A$4:$C$185,2,0)),"",VLOOKUP(Tableau13[[#This Row],[Code]],'Code Véhicule'!$A$4:$C$185,2,0))</f>
        <v>Camion</v>
      </c>
      <c r="D1361" s="161" t="str">
        <f>IF(ISNA(VLOOKUP(Tableau13[[#This Row],[Code]],'Code Véhicule'!$A$4:$C$185,3,0)),"",VLOOKUP(Tableau13[[#This Row],[Code]],'Code Véhicule'!$A$4:$C$185,3,0))</f>
        <v>Mitsubishi</v>
      </c>
      <c r="E1361" s="159" t="str">
        <f>IF(ISNA(VLOOKUP(Tableau13[[#This Row],[Code]],'Code Véhicule'!$A$4:$D$185,4,0))," ",VLOOKUP(Tableau13[[#This Row],[Code]],'Code Véhicule'!$A$4:$D$185,4,0))</f>
        <v xml:space="preserve">4969-A-73 </v>
      </c>
      <c r="F1361" s="170"/>
      <c r="G1361" s="162" t="s">
        <v>634</v>
      </c>
      <c r="H1361" s="162" t="s">
        <v>560</v>
      </c>
      <c r="I1361" s="173" t="s">
        <v>780</v>
      </c>
      <c r="J1361" s="174" t="s">
        <v>2573</v>
      </c>
      <c r="K1361" s="170">
        <v>7932</v>
      </c>
      <c r="L1361" s="166">
        <v>360</v>
      </c>
      <c r="M1361" s="166">
        <v>360</v>
      </c>
      <c r="N1361" s="175">
        <v>45443</v>
      </c>
      <c r="O1361" s="168"/>
      <c r="P1361" s="168"/>
      <c r="Q1361" s="170" t="e">
        <f>MONTH([1]!Tableau13[[#This Row],[Date début]])</f>
        <v>#REF!</v>
      </c>
      <c r="R1361" s="171" t="e">
        <f>YEAR([1]!Tableau13[[#This Row],[Date début]])</f>
        <v>#REF!</v>
      </c>
    </row>
    <row r="1362" spans="1:18" ht="30">
      <c r="A1362" s="169">
        <v>45448</v>
      </c>
      <c r="B1362" s="170">
        <v>481</v>
      </c>
      <c r="C1362" s="160" t="str">
        <f>IF(ISNA(VLOOKUP(Tableau13[[#This Row],[Code]],'Code Véhicule'!$A$4:$C$185,2,0)),"",VLOOKUP(Tableau13[[#This Row],[Code]],'Code Véhicule'!$A$4:$C$185,2,0))</f>
        <v>Camion</v>
      </c>
      <c r="D1362" s="161" t="str">
        <f>IF(ISNA(VLOOKUP(Tableau13[[#This Row],[Code]],'Code Véhicule'!$A$4:$C$185,3,0)),"",VLOOKUP(Tableau13[[#This Row],[Code]],'Code Véhicule'!$A$4:$C$185,3,0))</f>
        <v>VOLVO</v>
      </c>
      <c r="E1362" s="159" t="str">
        <f>IF(ISNA(VLOOKUP(Tableau13[[#This Row],[Code]],'Code Véhicule'!$A$4:$D$185,4,0))," ",VLOOKUP(Tableau13[[#This Row],[Code]],'Code Véhicule'!$A$4:$D$185,4,0))</f>
        <v>22300-A-73</v>
      </c>
      <c r="F1362" s="170"/>
      <c r="G1362" s="162" t="s">
        <v>2396</v>
      </c>
      <c r="H1362" s="162" t="s">
        <v>2392</v>
      </c>
      <c r="I1362" s="173" t="s">
        <v>1511</v>
      </c>
      <c r="J1362" s="174" t="s">
        <v>2574</v>
      </c>
      <c r="K1362" s="170">
        <v>8137</v>
      </c>
      <c r="L1362" s="166">
        <v>180</v>
      </c>
      <c r="M1362" s="166">
        <v>1810</v>
      </c>
      <c r="N1362" s="175">
        <v>45448</v>
      </c>
      <c r="O1362" s="168"/>
      <c r="P1362" s="168"/>
      <c r="Q1362" s="170" t="e">
        <f>MONTH([1]!Tableau13[[#This Row],[Date début]])</f>
        <v>#REF!</v>
      </c>
      <c r="R1362" s="171" t="e">
        <f>YEAR([1]!Tableau13[[#This Row],[Date début]])</f>
        <v>#REF!</v>
      </c>
    </row>
    <row r="1363" spans="1:18" ht="45">
      <c r="A1363" s="169">
        <v>45450</v>
      </c>
      <c r="B1363" s="170">
        <v>480</v>
      </c>
      <c r="C1363" s="160" t="str">
        <f>IF(ISNA(VLOOKUP(Tableau13[[#This Row],[Code]],'Code Véhicule'!$A$4:$C$185,2,0)),"",VLOOKUP(Tableau13[[#This Row],[Code]],'Code Véhicule'!$A$4:$C$185,2,0))</f>
        <v>Camion</v>
      </c>
      <c r="D1363" s="161" t="str">
        <f>IF(ISNA(VLOOKUP(Tableau13[[#This Row],[Code]],'Code Véhicule'!$A$4:$C$185,3,0)),"",VLOOKUP(Tableau13[[#This Row],[Code]],'Code Véhicule'!$A$4:$C$185,3,0))</f>
        <v>VOLVO</v>
      </c>
      <c r="E1363" s="159" t="str">
        <f>IF(ISNA(VLOOKUP(Tableau13[[#This Row],[Code]],'Code Véhicule'!$A$4:$D$185,4,0))," ",VLOOKUP(Tableau13[[#This Row],[Code]],'Code Véhicule'!$A$4:$D$185,4,0))</f>
        <v>22299-A-73</v>
      </c>
      <c r="F1363" s="170"/>
      <c r="G1363" s="162" t="s">
        <v>2396</v>
      </c>
      <c r="H1363" s="162" t="s">
        <v>2575</v>
      </c>
      <c r="I1363" s="173" t="s">
        <v>304</v>
      </c>
      <c r="J1363" s="174" t="s">
        <v>2576</v>
      </c>
      <c r="K1363" s="170">
        <v>8138</v>
      </c>
      <c r="L1363" s="166">
        <v>1620</v>
      </c>
      <c r="M1363" s="166">
        <v>1620</v>
      </c>
      <c r="N1363" s="175">
        <v>45453</v>
      </c>
      <c r="O1363" s="168"/>
      <c r="P1363" s="168"/>
      <c r="Q1363" s="170" t="e">
        <f>MONTH([1]!Tableau13[[#This Row],[Date début]])</f>
        <v>#REF!</v>
      </c>
      <c r="R1363" s="171" t="e">
        <f>YEAR([1]!Tableau13[[#This Row],[Date début]])</f>
        <v>#REF!</v>
      </c>
    </row>
    <row r="1364" spans="1:18">
      <c r="A1364" s="169">
        <v>45451</v>
      </c>
      <c r="B1364" s="170">
        <v>426</v>
      </c>
      <c r="C1364" s="160" t="str">
        <f>IF(ISNA(VLOOKUP(Tableau13[[#This Row],[Code]],'Code Véhicule'!$A$4:$C$185,2,0)),"",VLOOKUP(Tableau13[[#This Row],[Code]],'Code Véhicule'!$A$4:$C$185,2,0))</f>
        <v>Chariot elevateur</v>
      </c>
      <c r="D1364" s="161" t="str">
        <f>IF(ISNA(VLOOKUP(Tableau13[[#This Row],[Code]],'Code Véhicule'!$A$4:$C$185,3,0)),"",VLOOKUP(Tableau13[[#This Row],[Code]],'Code Véhicule'!$A$4:$C$185,3,0))</f>
        <v>Manitou MC 30</v>
      </c>
      <c r="E1364" s="159" t="str">
        <f>IF(ISNA(VLOOKUP(Tableau13[[#This Row],[Code]],'Code Véhicule'!$A$4:$D$185,4,0))," ",VLOOKUP(Tableau13[[#This Row],[Code]],'Code Véhicule'!$A$4:$D$185,4,0))</f>
        <v>-</v>
      </c>
      <c r="F1364" s="170"/>
      <c r="G1364" s="162" t="s">
        <v>525</v>
      </c>
      <c r="H1364" s="162" t="s">
        <v>2446</v>
      </c>
      <c r="I1364" s="173" t="s">
        <v>304</v>
      </c>
      <c r="J1364" s="174" t="s">
        <v>2577</v>
      </c>
      <c r="K1364" s="170">
        <v>8139</v>
      </c>
      <c r="L1364" s="166">
        <v>540</v>
      </c>
      <c r="M1364" s="166">
        <v>540</v>
      </c>
      <c r="N1364" s="175">
        <v>45451</v>
      </c>
      <c r="O1364" s="168"/>
      <c r="P1364" s="168"/>
      <c r="Q1364" s="170" t="e">
        <f>MONTH([1]!Tableau13[[#This Row],[Date début]])</f>
        <v>#REF!</v>
      </c>
      <c r="R1364" s="171" t="e">
        <f>YEAR([1]!Tableau13[[#This Row],[Date début]])</f>
        <v>#REF!</v>
      </c>
    </row>
    <row r="1365" spans="1:18">
      <c r="A1365" s="169">
        <v>45451</v>
      </c>
      <c r="B1365" s="170">
        <v>477</v>
      </c>
      <c r="C1365" s="160" t="str">
        <f>IF(ISNA(VLOOKUP(Tableau13[[#This Row],[Code]],'Code Véhicule'!$A$4:$C$185,2,0)),"",VLOOKUP(Tableau13[[#This Row],[Code]],'Code Véhicule'!$A$4:$C$185,2,0))</f>
        <v>Chariot elevateur</v>
      </c>
      <c r="D1365" s="161" t="str">
        <f>IF(ISNA(VLOOKUP(Tableau13[[#This Row],[Code]],'Code Véhicule'!$A$4:$C$185,3,0)),"",VLOOKUP(Tableau13[[#This Row],[Code]],'Code Véhicule'!$A$4:$C$185,3,0))</f>
        <v>Linde H30D</v>
      </c>
      <c r="E1365" s="159" t="str">
        <f>IF(ISNA(VLOOKUP(Tableau13[[#This Row],[Code]],'Code Véhicule'!$A$4:$D$185,4,0))," ",VLOOKUP(Tableau13[[#This Row],[Code]],'Code Véhicule'!$A$4:$D$185,4,0))</f>
        <v>-</v>
      </c>
      <c r="F1365" s="170"/>
      <c r="G1365" s="162" t="s">
        <v>2396</v>
      </c>
      <c r="H1365" s="162" t="s">
        <v>2104</v>
      </c>
      <c r="I1365" s="173" t="s">
        <v>304</v>
      </c>
      <c r="J1365" s="174" t="s">
        <v>2578</v>
      </c>
      <c r="K1365" s="170">
        <v>8140</v>
      </c>
      <c r="L1365" s="166">
        <v>540</v>
      </c>
      <c r="M1365" s="166">
        <v>540</v>
      </c>
      <c r="N1365" s="175">
        <v>45451</v>
      </c>
      <c r="O1365" s="168"/>
      <c r="P1365" s="168"/>
      <c r="Q1365" s="170" t="e">
        <f>MONTH([1]!Tableau13[[#This Row],[Date début]])</f>
        <v>#REF!</v>
      </c>
      <c r="R1365" s="171" t="e">
        <f>YEAR([1]!Tableau13[[#This Row],[Date début]])</f>
        <v>#REF!</v>
      </c>
    </row>
    <row r="1366" spans="1:18" ht="30">
      <c r="A1366" s="169">
        <v>45451</v>
      </c>
      <c r="B1366" s="170">
        <v>417</v>
      </c>
      <c r="C1366" s="160" t="str">
        <f>IF(ISNA(VLOOKUP(Tableau13[[#This Row],[Code]],'Code Véhicule'!$A$4:$C$185,2,0)),"",VLOOKUP(Tableau13[[#This Row],[Code]],'Code Véhicule'!$A$4:$C$185,2,0))</f>
        <v>Voiture de fonction</v>
      </c>
      <c r="D1366" s="161" t="str">
        <f>IF(ISNA(VLOOKUP(Tableau13[[#This Row],[Code]],'Code Véhicule'!$A$4:$C$185,3,0)),"",VLOOKUP(Tableau13[[#This Row],[Code]],'Code Véhicule'!$A$4:$C$185,3,0))</f>
        <v>Berlingo</v>
      </c>
      <c r="E1366" s="159" t="str">
        <f>IF(ISNA(VLOOKUP(Tableau13[[#This Row],[Code]],'Code Véhicule'!$A$4:$D$185,4,0))," ",VLOOKUP(Tableau13[[#This Row],[Code]],'Code Véhicule'!$A$4:$D$185,4,0))</f>
        <v>981-A-73</v>
      </c>
      <c r="F1366" s="170"/>
      <c r="G1366" s="162" t="s">
        <v>525</v>
      </c>
      <c r="H1366" s="162" t="s">
        <v>2446</v>
      </c>
      <c r="I1366" s="173" t="s">
        <v>304</v>
      </c>
      <c r="J1366" s="174" t="s">
        <v>2579</v>
      </c>
      <c r="K1366" s="170">
        <v>8141</v>
      </c>
      <c r="L1366" s="166">
        <v>540</v>
      </c>
      <c r="M1366" s="166">
        <v>540</v>
      </c>
      <c r="N1366" s="175">
        <v>45451</v>
      </c>
      <c r="O1366" s="168"/>
      <c r="P1366" s="168"/>
      <c r="Q1366" s="170" t="e">
        <f>MONTH([1]!Tableau13[[#This Row],[Date début]])</f>
        <v>#REF!</v>
      </c>
      <c r="R1366" s="171" t="e">
        <f>YEAR([1]!Tableau13[[#This Row],[Date début]])</f>
        <v>#REF!</v>
      </c>
    </row>
    <row r="1367" spans="1:18" ht="30">
      <c r="A1367" s="169">
        <v>45451</v>
      </c>
      <c r="B1367" s="170">
        <v>439</v>
      </c>
      <c r="C1367" s="160" t="str">
        <f>IF(ISNA(VLOOKUP(Tableau13[[#This Row],[Code]],'Code Véhicule'!$A$4:$C$185,2,0)),"",VLOOKUP(Tableau13[[#This Row],[Code]],'Code Véhicule'!$A$4:$C$185,2,0))</f>
        <v>Semi remorque</v>
      </c>
      <c r="D1367" s="161" t="str">
        <f>IF(ISNA(VLOOKUP(Tableau13[[#This Row],[Code]],'Code Véhicule'!$A$4:$C$185,3,0)),"",VLOOKUP(Tableau13[[#This Row],[Code]],'Code Véhicule'!$A$4:$C$185,3,0))</f>
        <v>VOLVO</v>
      </c>
      <c r="E1367" s="159" t="str">
        <f>IF(ISNA(VLOOKUP(Tableau13[[#This Row],[Code]],'Code Véhicule'!$A$4:$D$185,4,0))," ",VLOOKUP(Tableau13[[#This Row],[Code]],'Code Véhicule'!$A$4:$D$185,4,0))</f>
        <v xml:space="preserve">17886-A-73 </v>
      </c>
      <c r="F1367" s="170"/>
      <c r="G1367" s="162" t="s">
        <v>525</v>
      </c>
      <c r="H1367" s="162" t="s">
        <v>2446</v>
      </c>
      <c r="I1367" s="173" t="s">
        <v>780</v>
      </c>
      <c r="J1367" s="174" t="s">
        <v>2580</v>
      </c>
      <c r="K1367" s="170">
        <v>8142</v>
      </c>
      <c r="L1367" s="166">
        <v>120</v>
      </c>
      <c r="M1367" s="166">
        <v>120</v>
      </c>
      <c r="N1367" s="175">
        <v>45451</v>
      </c>
      <c r="O1367" s="168"/>
      <c r="P1367" s="168"/>
      <c r="Q1367" s="170" t="e">
        <f>MONTH([1]!Tableau13[[#This Row],[Date début]])</f>
        <v>#REF!</v>
      </c>
      <c r="R1367" s="171" t="e">
        <f>YEAR([1]!Tableau13[[#This Row],[Date début]])</f>
        <v>#REF!</v>
      </c>
    </row>
    <row r="1368" spans="1:18" ht="30">
      <c r="A1368" s="169">
        <v>45451</v>
      </c>
      <c r="B1368" s="170">
        <v>401</v>
      </c>
      <c r="C1368" s="160" t="str">
        <f>IF(ISNA(VLOOKUP(Tableau13[[#This Row],[Code]],'Code Véhicule'!$A$4:$C$185,2,0)),"",VLOOKUP(Tableau13[[#This Row],[Code]],'Code Véhicule'!$A$4:$C$185,2,0))</f>
        <v>Camion</v>
      </c>
      <c r="D1368" s="161" t="str">
        <f>IF(ISNA(VLOOKUP(Tableau13[[#This Row],[Code]],'Code Véhicule'!$A$4:$C$185,3,0)),"",VLOOKUP(Tableau13[[#This Row],[Code]],'Code Véhicule'!$A$4:$C$185,3,0))</f>
        <v>ISUZU</v>
      </c>
      <c r="E1368" s="159" t="str">
        <f>IF(ISNA(VLOOKUP(Tableau13[[#This Row],[Code]],'Code Véhicule'!$A$4:$D$185,4,0))," ",VLOOKUP(Tableau13[[#This Row],[Code]],'Code Véhicule'!$A$4:$D$185,4,0))</f>
        <v>26128-A-8</v>
      </c>
      <c r="F1368" s="170"/>
      <c r="G1368" s="162" t="s">
        <v>2396</v>
      </c>
      <c r="H1368" s="162" t="s">
        <v>2446</v>
      </c>
      <c r="I1368" s="173" t="s">
        <v>780</v>
      </c>
      <c r="J1368" s="174" t="s">
        <v>2581</v>
      </c>
      <c r="K1368" s="170">
        <v>8199</v>
      </c>
      <c r="L1368" s="166">
        <v>540</v>
      </c>
      <c r="M1368" s="166">
        <v>540</v>
      </c>
      <c r="N1368" s="175">
        <v>45451</v>
      </c>
      <c r="O1368" s="168"/>
      <c r="P1368" s="168"/>
      <c r="Q1368" s="170" t="e">
        <f>MONTH([1]!Tableau13[[#This Row],[Date début]])</f>
        <v>#REF!</v>
      </c>
      <c r="R1368" s="171" t="e">
        <f>YEAR([1]!Tableau13[[#This Row],[Date début]])</f>
        <v>#REF!</v>
      </c>
    </row>
    <row r="1369" spans="1:18" ht="30">
      <c r="A1369" s="169">
        <v>45454</v>
      </c>
      <c r="B1369" s="170">
        <v>403</v>
      </c>
      <c r="C1369" s="160" t="str">
        <f>IF(ISNA(VLOOKUP(Tableau13[[#This Row],[Code]],'Code Véhicule'!$A$4:$C$185,2,0)),"",VLOOKUP(Tableau13[[#This Row],[Code]],'Code Véhicule'!$A$4:$C$185,2,0))</f>
        <v>Camion</v>
      </c>
      <c r="D1369" s="161" t="str">
        <f>IF(ISNA(VLOOKUP(Tableau13[[#This Row],[Code]],'Code Véhicule'!$A$4:$C$185,3,0)),"",VLOOKUP(Tableau13[[#This Row],[Code]],'Code Véhicule'!$A$4:$C$185,3,0))</f>
        <v>MAN</v>
      </c>
      <c r="E1369" s="159" t="str">
        <f>IF(ISNA(VLOOKUP(Tableau13[[#This Row],[Code]],'Code Véhicule'!$A$4:$D$185,4,0))," ",VLOOKUP(Tableau13[[#This Row],[Code]],'Code Véhicule'!$A$4:$D$185,4,0))</f>
        <v>4790-B-8</v>
      </c>
      <c r="F1369" s="170"/>
      <c r="G1369" s="162" t="s">
        <v>2396</v>
      </c>
      <c r="H1369" s="162" t="s">
        <v>2446</v>
      </c>
      <c r="I1369" s="173" t="s">
        <v>304</v>
      </c>
      <c r="J1369" s="174" t="s">
        <v>2582</v>
      </c>
      <c r="K1369" s="170" t="s">
        <v>903</v>
      </c>
      <c r="L1369" s="166">
        <v>1080</v>
      </c>
      <c r="M1369" s="166">
        <v>1080</v>
      </c>
      <c r="N1369" s="175">
        <v>45456</v>
      </c>
      <c r="O1369" s="168"/>
      <c r="P1369" s="168"/>
      <c r="Q1369" s="170" t="e">
        <f>MONTH([1]!Tableau13[[#This Row],[Date début]])</f>
        <v>#REF!</v>
      </c>
      <c r="R1369" s="171" t="e">
        <f>YEAR([1]!Tableau13[[#This Row],[Date début]])</f>
        <v>#REF!</v>
      </c>
    </row>
    <row r="1370" spans="1:18" ht="45">
      <c r="A1370" s="169">
        <v>45457</v>
      </c>
      <c r="B1370" s="170">
        <v>411</v>
      </c>
      <c r="C1370" s="160" t="str">
        <f>IF(ISNA(VLOOKUP(Tableau13[[#This Row],[Code]],'Code Véhicule'!$A$4:$C$185,2,0)),"",VLOOKUP(Tableau13[[#This Row],[Code]],'Code Véhicule'!$A$4:$C$185,2,0))</f>
        <v>Camion</v>
      </c>
      <c r="D1370" s="161" t="str">
        <f>IF(ISNA(VLOOKUP(Tableau13[[#This Row],[Code]],'Code Véhicule'!$A$4:$C$185,3,0)),"",VLOOKUP(Tableau13[[#This Row],[Code]],'Code Véhicule'!$A$4:$C$185,3,0))</f>
        <v>Renault</v>
      </c>
      <c r="E1370" s="159" t="str">
        <f>IF(ISNA(VLOOKUP(Tableau13[[#This Row],[Code]],'Code Véhicule'!$A$4:$D$185,4,0))," ",VLOOKUP(Tableau13[[#This Row],[Code]],'Code Véhicule'!$A$4:$D$185,4,0))</f>
        <v>25636-A-13</v>
      </c>
      <c r="F1370" s="170"/>
      <c r="G1370" s="162" t="s">
        <v>2396</v>
      </c>
      <c r="H1370" s="162" t="s">
        <v>2392</v>
      </c>
      <c r="I1370" s="173" t="s">
        <v>302</v>
      </c>
      <c r="J1370" s="174" t="s">
        <v>2583</v>
      </c>
      <c r="K1370" s="170">
        <v>8269</v>
      </c>
      <c r="L1370" s="166">
        <v>180</v>
      </c>
      <c r="M1370" s="166">
        <v>180</v>
      </c>
      <c r="N1370" s="175">
        <v>45457</v>
      </c>
      <c r="O1370" s="168"/>
      <c r="P1370" s="168"/>
      <c r="Q1370" s="170" t="e">
        <f>MONTH([1]!Tableau13[[#This Row],[Date début]])</f>
        <v>#REF!</v>
      </c>
      <c r="R1370" s="171" t="e">
        <f>YEAR([1]!Tableau13[[#This Row],[Date début]])</f>
        <v>#REF!</v>
      </c>
    </row>
    <row r="1371" spans="1:18" ht="30">
      <c r="A1371" s="169">
        <v>45458</v>
      </c>
      <c r="B1371" s="170">
        <v>438</v>
      </c>
      <c r="C1371" s="160" t="str">
        <f>IF(ISNA(VLOOKUP(Tableau13[[#This Row],[Code]],'Code Véhicule'!$A$4:$C$185,2,0)),"",VLOOKUP(Tableau13[[#This Row],[Code]],'Code Véhicule'!$A$4:$C$185,2,0))</f>
        <v>Semi remorque</v>
      </c>
      <c r="D1371" s="161" t="str">
        <f>IF(ISNA(VLOOKUP(Tableau13[[#This Row],[Code]],'Code Véhicule'!$A$4:$C$185,3,0)),"",VLOOKUP(Tableau13[[#This Row],[Code]],'Code Véhicule'!$A$4:$C$185,3,0))</f>
        <v>VOLVO</v>
      </c>
      <c r="E1371" s="159" t="str">
        <f>IF(ISNA(VLOOKUP(Tableau13[[#This Row],[Code]],'Code Véhicule'!$A$4:$D$185,4,0))," ",VLOOKUP(Tableau13[[#This Row],[Code]],'Code Véhicule'!$A$4:$D$185,4,0))</f>
        <v xml:space="preserve">17885-A-73 </v>
      </c>
      <c r="F1371" s="170"/>
      <c r="G1371" s="162" t="s">
        <v>2396</v>
      </c>
      <c r="H1371" s="162" t="s">
        <v>610</v>
      </c>
      <c r="I1371" s="173" t="s">
        <v>304</v>
      </c>
      <c r="J1371" s="174" t="s">
        <v>2584</v>
      </c>
      <c r="K1371" s="170">
        <v>8273</v>
      </c>
      <c r="L1371" s="166">
        <v>120</v>
      </c>
      <c r="M1371" s="166">
        <v>120</v>
      </c>
      <c r="N1371" s="175" t="s">
        <v>2585</v>
      </c>
      <c r="O1371" s="168"/>
      <c r="P1371" s="168"/>
      <c r="Q1371" s="170" t="e">
        <f>MONTH([1]!Tableau13[[#This Row],[Date début]])</f>
        <v>#REF!</v>
      </c>
      <c r="R1371" s="171" t="e">
        <f>YEAR([1]!Tableau13[[#This Row],[Date début]])</f>
        <v>#REF!</v>
      </c>
    </row>
    <row r="1372" spans="1:18">
      <c r="A1372" s="169">
        <v>45458</v>
      </c>
      <c r="B1372" s="170">
        <v>401</v>
      </c>
      <c r="C1372" s="160" t="str">
        <f>IF(ISNA(VLOOKUP(Tableau13[[#This Row],[Code]],'Code Véhicule'!$A$4:$C$185,2,0)),"",VLOOKUP(Tableau13[[#This Row],[Code]],'Code Véhicule'!$A$4:$C$185,2,0))</f>
        <v>Camion</v>
      </c>
      <c r="D1372" s="161" t="str">
        <f>IF(ISNA(VLOOKUP(Tableau13[[#This Row],[Code]],'Code Véhicule'!$A$4:$C$185,3,0)),"",VLOOKUP(Tableau13[[#This Row],[Code]],'Code Véhicule'!$A$4:$C$185,3,0))</f>
        <v>ISUZU</v>
      </c>
      <c r="E1372" s="159" t="str">
        <f>IF(ISNA(VLOOKUP(Tableau13[[#This Row],[Code]],'Code Véhicule'!$A$4:$D$185,4,0))," ",VLOOKUP(Tableau13[[#This Row],[Code]],'Code Véhicule'!$A$4:$D$185,4,0))</f>
        <v>26128-A-8</v>
      </c>
      <c r="F1372" s="170"/>
      <c r="G1372" s="162" t="s">
        <v>2396</v>
      </c>
      <c r="H1372" s="162" t="s">
        <v>2586</v>
      </c>
      <c r="I1372" s="173" t="s">
        <v>304</v>
      </c>
      <c r="J1372" s="174" t="s">
        <v>2587</v>
      </c>
      <c r="K1372" s="170">
        <v>8274</v>
      </c>
      <c r="L1372" s="166">
        <v>1080</v>
      </c>
      <c r="M1372" s="166">
        <v>1620</v>
      </c>
      <c r="N1372" s="175">
        <v>45461</v>
      </c>
      <c r="O1372" s="168"/>
      <c r="P1372" s="168"/>
      <c r="Q1372" s="170" t="e">
        <f>MONTH([1]!Tableau13[[#This Row],[Date début]])</f>
        <v>#REF!</v>
      </c>
      <c r="R1372" s="171" t="e">
        <f>YEAR([1]!Tableau13[[#This Row],[Date début]])</f>
        <v>#REF!</v>
      </c>
    </row>
    <row r="1373" spans="1:18" ht="30">
      <c r="A1373" s="169">
        <v>45458</v>
      </c>
      <c r="B1373" s="170">
        <v>436</v>
      </c>
      <c r="C1373" s="160" t="str">
        <f>IF(ISNA(VLOOKUP(Tableau13[[#This Row],[Code]],'Code Véhicule'!$A$4:$C$185,2,0)),"",VLOOKUP(Tableau13[[#This Row],[Code]],'Code Véhicule'!$A$4:$C$185,2,0))</f>
        <v>Camion</v>
      </c>
      <c r="D1373" s="161" t="str">
        <f>IF(ISNA(VLOOKUP(Tableau13[[#This Row],[Code]],'Code Véhicule'!$A$4:$C$185,3,0)),"",VLOOKUP(Tableau13[[#This Row],[Code]],'Code Véhicule'!$A$4:$C$185,3,0))</f>
        <v>Mitsubishi</v>
      </c>
      <c r="E1373" s="159" t="str">
        <f>IF(ISNA(VLOOKUP(Tableau13[[#This Row],[Code]],'Code Véhicule'!$A$4:$D$185,4,0))," ",VLOOKUP(Tableau13[[#This Row],[Code]],'Code Véhicule'!$A$4:$D$185,4,0))</f>
        <v>11470-A-73</v>
      </c>
      <c r="F1373" s="170"/>
      <c r="G1373" s="162" t="s">
        <v>525</v>
      </c>
      <c r="H1373" s="162" t="s">
        <v>774</v>
      </c>
      <c r="I1373" s="173" t="s">
        <v>304</v>
      </c>
      <c r="J1373" s="174" t="s">
        <v>2588</v>
      </c>
      <c r="K1373" s="170">
        <v>8276</v>
      </c>
      <c r="L1373" s="166">
        <v>240</v>
      </c>
      <c r="M1373" s="166">
        <v>540</v>
      </c>
      <c r="N1373" s="175">
        <v>45458</v>
      </c>
      <c r="O1373" s="168"/>
      <c r="P1373" s="168"/>
      <c r="Q1373" s="170" t="e">
        <f>MONTH([1]!Tableau13[[#This Row],[Date début]])</f>
        <v>#REF!</v>
      </c>
      <c r="R1373" s="171" t="e">
        <f>YEAR([1]!Tableau13[[#This Row],[Date début]])</f>
        <v>#REF!</v>
      </c>
    </row>
    <row r="1374" spans="1:18" ht="30">
      <c r="A1374" s="169">
        <v>45467</v>
      </c>
      <c r="B1374" s="170">
        <v>401</v>
      </c>
      <c r="C1374" s="160" t="str">
        <f>IF(ISNA(VLOOKUP(Tableau13[[#This Row],[Code]],'Code Véhicule'!$A$4:$C$185,2,0)),"",VLOOKUP(Tableau13[[#This Row],[Code]],'Code Véhicule'!$A$4:$C$185,2,0))</f>
        <v>Camion</v>
      </c>
      <c r="D1374" s="161" t="str">
        <f>IF(ISNA(VLOOKUP(Tableau13[[#This Row],[Code]],'Code Véhicule'!$A$4:$C$185,3,0)),"",VLOOKUP(Tableau13[[#This Row],[Code]],'Code Véhicule'!$A$4:$C$185,3,0))</f>
        <v>ISUZU</v>
      </c>
      <c r="E1374" s="159" t="str">
        <f>IF(ISNA(VLOOKUP(Tableau13[[#This Row],[Code]],'Code Véhicule'!$A$4:$D$185,4,0))," ",VLOOKUP(Tableau13[[#This Row],[Code]],'Code Véhicule'!$A$4:$D$185,4,0))</f>
        <v>26128-A-8</v>
      </c>
      <c r="F1374" s="170"/>
      <c r="G1374" s="162" t="s">
        <v>2396</v>
      </c>
      <c r="H1374" s="162" t="s">
        <v>2409</v>
      </c>
      <c r="I1374" s="173" t="s">
        <v>304</v>
      </c>
      <c r="J1374" s="174" t="s">
        <v>2589</v>
      </c>
      <c r="K1374" s="170">
        <v>8300</v>
      </c>
      <c r="L1374" s="166">
        <v>540</v>
      </c>
      <c r="M1374" s="166">
        <v>1080</v>
      </c>
      <c r="N1374" s="175">
        <v>45468</v>
      </c>
      <c r="O1374" s="168"/>
      <c r="P1374" s="168"/>
      <c r="Q1374" s="170" t="e">
        <f>MONTH([1]!Tableau13[[#This Row],[Date début]])</f>
        <v>#REF!</v>
      </c>
      <c r="R1374" s="171" t="e">
        <f>YEAR([1]!Tableau13[[#This Row],[Date début]])</f>
        <v>#REF!</v>
      </c>
    </row>
    <row r="1375" spans="1:18" ht="30">
      <c r="A1375" s="169">
        <v>45470</v>
      </c>
      <c r="B1375" s="170">
        <v>410</v>
      </c>
      <c r="C1375" s="160" t="str">
        <f>IF(ISNA(VLOOKUP(Tableau13[[#This Row],[Code]],'Code Véhicule'!$A$4:$C$185,2,0)),"",VLOOKUP(Tableau13[[#This Row],[Code]],'Code Véhicule'!$A$4:$C$185,2,0))</f>
        <v>Semi remorque</v>
      </c>
      <c r="D1375" s="161" t="str">
        <f>IF(ISNA(VLOOKUP(Tableau13[[#This Row],[Code]],'Code Véhicule'!$A$4:$C$185,3,0)),"",VLOOKUP(Tableau13[[#This Row],[Code]],'Code Véhicule'!$A$4:$C$185,3,0))</f>
        <v>MAN</v>
      </c>
      <c r="E1375" s="159" t="str">
        <f>IF(ISNA(VLOOKUP(Tableau13[[#This Row],[Code]],'Code Véhicule'!$A$4:$D$185,4,0))," ",VLOOKUP(Tableau13[[#This Row],[Code]],'Code Véhicule'!$A$4:$D$185,4,0))</f>
        <v xml:space="preserve">28659-D-1 </v>
      </c>
      <c r="F1375" s="170"/>
      <c r="G1375" s="162" t="s">
        <v>525</v>
      </c>
      <c r="H1375" s="162" t="s">
        <v>622</v>
      </c>
      <c r="I1375" s="173" t="s">
        <v>304</v>
      </c>
      <c r="J1375" s="174" t="s">
        <v>2590</v>
      </c>
      <c r="K1375" s="170">
        <v>8372</v>
      </c>
      <c r="L1375" s="166">
        <v>120</v>
      </c>
      <c r="M1375" s="166">
        <v>120</v>
      </c>
      <c r="N1375" s="175">
        <v>45470</v>
      </c>
      <c r="O1375" s="168"/>
      <c r="P1375" s="168"/>
      <c r="Q1375" s="170" t="e">
        <f>MONTH([1]!Tableau13[[#This Row],[Date début]])</f>
        <v>#REF!</v>
      </c>
      <c r="R1375" s="171" t="e">
        <f>YEAR([1]!Tableau13[[#This Row],[Date début]])</f>
        <v>#REF!</v>
      </c>
    </row>
    <row r="1376" spans="1:18">
      <c r="A1376" s="169">
        <v>45470</v>
      </c>
      <c r="B1376" s="170">
        <v>439</v>
      </c>
      <c r="C1376" s="160" t="str">
        <f>IF(ISNA(VLOOKUP(Tableau13[[#This Row],[Code]],'Code Véhicule'!$A$4:$C$185,2,0)),"",VLOOKUP(Tableau13[[#This Row],[Code]],'Code Véhicule'!$A$4:$C$185,2,0))</f>
        <v>Semi remorque</v>
      </c>
      <c r="D1376" s="161" t="str">
        <f>IF(ISNA(VLOOKUP(Tableau13[[#This Row],[Code]],'Code Véhicule'!$A$4:$C$185,3,0)),"",VLOOKUP(Tableau13[[#This Row],[Code]],'Code Véhicule'!$A$4:$C$185,3,0))</f>
        <v>VOLVO</v>
      </c>
      <c r="E1376" s="159" t="str">
        <f>IF(ISNA(VLOOKUP(Tableau13[[#This Row],[Code]],'Code Véhicule'!$A$4:$D$185,4,0))," ",VLOOKUP(Tableau13[[#This Row],[Code]],'Code Véhicule'!$A$4:$D$185,4,0))</f>
        <v xml:space="preserve">17886-A-73 </v>
      </c>
      <c r="F1376" s="170"/>
      <c r="G1376" s="162" t="s">
        <v>2396</v>
      </c>
      <c r="H1376" s="162" t="s">
        <v>2422</v>
      </c>
      <c r="I1376" s="173" t="s">
        <v>304</v>
      </c>
      <c r="J1376" s="174" t="s">
        <v>2591</v>
      </c>
      <c r="K1376" s="170">
        <v>8373</v>
      </c>
      <c r="L1376" s="166">
        <v>120</v>
      </c>
      <c r="M1376" s="166">
        <v>120</v>
      </c>
      <c r="N1376" s="175">
        <v>45470</v>
      </c>
      <c r="O1376" s="168"/>
      <c r="P1376" s="168"/>
      <c r="Q1376" s="170" t="e">
        <f>MONTH([1]!Tableau13[[#This Row],[Date début]])</f>
        <v>#REF!</v>
      </c>
      <c r="R1376" s="171" t="e">
        <f>YEAR([1]!Tableau13[[#This Row],[Date début]])</f>
        <v>#REF!</v>
      </c>
    </row>
    <row r="1377" spans="1:18" ht="30">
      <c r="A1377" s="169">
        <v>45470</v>
      </c>
      <c r="B1377" s="170">
        <v>479</v>
      </c>
      <c r="C1377" s="160" t="str">
        <f>IF(ISNA(VLOOKUP(Tableau13[[#This Row],[Code]],'Code Véhicule'!$A$4:$C$185,2,0)),"",VLOOKUP(Tableau13[[#This Row],[Code]],'Code Véhicule'!$A$4:$C$185,2,0))</f>
        <v>Bus de transport</v>
      </c>
      <c r="D1377" s="161" t="str">
        <f>IF(ISNA(VLOOKUP(Tableau13[[#This Row],[Code]],'Code Véhicule'!$A$4:$C$185,3,0)),"",VLOOKUP(Tableau13[[#This Row],[Code]],'Code Véhicule'!$A$4:$C$185,3,0))</f>
        <v>Hyundai County</v>
      </c>
      <c r="E1377" s="159" t="str">
        <f>IF(ISNA(VLOOKUP(Tableau13[[#This Row],[Code]],'Code Véhicule'!$A$4:$D$185,4,0))," ",VLOOKUP(Tableau13[[#This Row],[Code]],'Code Véhicule'!$A$4:$D$185,4,0))</f>
        <v>22772-A-73</v>
      </c>
      <c r="F1377" s="170"/>
      <c r="G1377" s="162" t="s">
        <v>2396</v>
      </c>
      <c r="H1377" s="162" t="s">
        <v>2446</v>
      </c>
      <c r="I1377" s="173" t="s">
        <v>304</v>
      </c>
      <c r="J1377" s="174" t="s">
        <v>2592</v>
      </c>
      <c r="K1377" s="170" t="s">
        <v>2593</v>
      </c>
      <c r="L1377" s="166">
        <v>240</v>
      </c>
      <c r="M1377" s="166">
        <v>240</v>
      </c>
      <c r="N1377" s="175">
        <v>45470</v>
      </c>
      <c r="O1377" s="168"/>
      <c r="P1377" s="168"/>
      <c r="Q1377" s="170" t="e">
        <f>MONTH([1]!Tableau13[[#This Row],[Date début]])</f>
        <v>#REF!</v>
      </c>
      <c r="R1377" s="171" t="e">
        <f>YEAR([1]!Tableau13[[#This Row],[Date début]])</f>
        <v>#REF!</v>
      </c>
    </row>
    <row r="1378" spans="1:18" ht="60">
      <c r="A1378" s="169">
        <v>45476</v>
      </c>
      <c r="B1378" s="170">
        <v>435</v>
      </c>
      <c r="C1378" s="160" t="str">
        <f>IF(ISNA(VLOOKUP(Tableau13[[#This Row],[Code]],'Code Véhicule'!$A$4:$C$185,2,0)),"",VLOOKUP(Tableau13[[#This Row],[Code]],'Code Véhicule'!$A$4:$C$185,2,0))</f>
        <v>Camion</v>
      </c>
      <c r="D1378" s="161" t="str">
        <f>IF(ISNA(VLOOKUP(Tableau13[[#This Row],[Code]],'Code Véhicule'!$A$4:$C$185,3,0)),"",VLOOKUP(Tableau13[[#This Row],[Code]],'Code Véhicule'!$A$4:$C$185,3,0))</f>
        <v>Mitsubishi</v>
      </c>
      <c r="E1378" s="159" t="str">
        <f>IF(ISNA(VLOOKUP(Tableau13[[#This Row],[Code]],'Code Véhicule'!$A$4:$D$185,4,0))," ",VLOOKUP(Tableau13[[#This Row],[Code]],'Code Véhicule'!$A$4:$D$185,4,0))</f>
        <v xml:space="preserve"> 11469-A-73</v>
      </c>
      <c r="F1378" s="170"/>
      <c r="G1378" s="162" t="s">
        <v>2396</v>
      </c>
      <c r="H1378" s="162" t="s">
        <v>2392</v>
      </c>
      <c r="I1378" s="173" t="s">
        <v>302</v>
      </c>
      <c r="J1378" s="174" t="s">
        <v>2594</v>
      </c>
      <c r="K1378" s="170">
        <v>8492</v>
      </c>
      <c r="L1378" s="166">
        <v>540</v>
      </c>
      <c r="M1378" s="166">
        <v>540</v>
      </c>
      <c r="N1378" s="175">
        <v>45476</v>
      </c>
      <c r="O1378" s="168"/>
      <c r="P1378" s="168"/>
      <c r="Q1378" s="170" t="e">
        <f>MONTH([1]!Tableau13[[#This Row],[Date début]])</f>
        <v>#REF!</v>
      </c>
      <c r="R1378" s="171" t="e">
        <f>YEAR([1]!Tableau13[[#This Row],[Date début]])</f>
        <v>#REF!</v>
      </c>
    </row>
    <row r="1379" spans="1:18">
      <c r="A1379" s="169">
        <v>45476</v>
      </c>
      <c r="B1379" s="170">
        <v>435</v>
      </c>
      <c r="C1379" s="160" t="str">
        <f>IF(ISNA(VLOOKUP(Tableau13[[#This Row],[Code]],'Code Véhicule'!$A$4:$C$185,2,0)),"",VLOOKUP(Tableau13[[#This Row],[Code]],'Code Véhicule'!$A$4:$C$185,2,0))</f>
        <v>Camion</v>
      </c>
      <c r="D1379" s="161" t="str">
        <f>IF(ISNA(VLOOKUP(Tableau13[[#This Row],[Code]],'Code Véhicule'!$A$4:$C$185,3,0)),"",VLOOKUP(Tableau13[[#This Row],[Code]],'Code Véhicule'!$A$4:$C$185,3,0))</f>
        <v>Mitsubishi</v>
      </c>
      <c r="E1379" s="159" t="str">
        <f>IF(ISNA(VLOOKUP(Tableau13[[#This Row],[Code]],'Code Véhicule'!$A$4:$D$185,4,0))," ",VLOOKUP(Tableau13[[#This Row],[Code]],'Code Véhicule'!$A$4:$D$185,4,0))</f>
        <v xml:space="preserve"> 11469-A-73</v>
      </c>
      <c r="F1379" s="170"/>
      <c r="G1379" s="162" t="s">
        <v>2396</v>
      </c>
      <c r="H1379" s="162" t="s">
        <v>2446</v>
      </c>
      <c r="I1379" s="173" t="s">
        <v>780</v>
      </c>
      <c r="J1379" s="174" t="s">
        <v>2595</v>
      </c>
      <c r="K1379" s="170">
        <v>8493</v>
      </c>
      <c r="L1379" s="166">
        <v>120</v>
      </c>
      <c r="M1379" s="166">
        <v>120</v>
      </c>
      <c r="N1379" s="175">
        <v>45476</v>
      </c>
      <c r="O1379" s="168"/>
      <c r="P1379" s="168"/>
      <c r="Q1379" s="170" t="e">
        <f>MONTH([1]!Tableau13[[#This Row],[Date début]])</f>
        <v>#REF!</v>
      </c>
      <c r="R1379" s="171" t="e">
        <f>YEAR([1]!Tableau13[[#This Row],[Date début]])</f>
        <v>#REF!</v>
      </c>
    </row>
    <row r="1380" spans="1:18" ht="30">
      <c r="A1380" s="169">
        <v>45481</v>
      </c>
      <c r="B1380" s="170">
        <v>472</v>
      </c>
      <c r="C1380" s="160" t="str">
        <f>IF(ISNA(VLOOKUP(Tableau13[[#This Row],[Code]],'Code Véhicule'!$A$4:$C$185,2,0)),"",VLOOKUP(Tableau13[[#This Row],[Code]],'Code Véhicule'!$A$4:$C$185,2,0))</f>
        <v>Chariot elevateur</v>
      </c>
      <c r="D1380" s="161" t="str">
        <f>IF(ISNA(VLOOKUP(Tableau13[[#This Row],[Code]],'Code Véhicule'!$A$4:$C$185,3,0)),"",VLOOKUP(Tableau13[[#This Row],[Code]],'Code Véhicule'!$A$4:$C$185,3,0))</f>
        <v>Linde H25d</v>
      </c>
      <c r="E1380" s="159" t="str">
        <f>IF(ISNA(VLOOKUP(Tableau13[[#This Row],[Code]],'Code Véhicule'!$A$4:$D$185,4,0))," ",VLOOKUP(Tableau13[[#This Row],[Code]],'Code Véhicule'!$A$4:$D$185,4,0))</f>
        <v>-</v>
      </c>
      <c r="F1380" s="170"/>
      <c r="G1380" s="162" t="s">
        <v>2396</v>
      </c>
      <c r="H1380" s="162" t="s">
        <v>2596</v>
      </c>
      <c r="I1380" s="173" t="s">
        <v>304</v>
      </c>
      <c r="J1380" s="174" t="s">
        <v>2597</v>
      </c>
      <c r="K1380" s="170">
        <v>8599</v>
      </c>
      <c r="L1380" s="166">
        <v>120</v>
      </c>
      <c r="M1380" s="166">
        <v>120</v>
      </c>
      <c r="N1380" s="175">
        <v>45481</v>
      </c>
      <c r="O1380" s="168"/>
      <c r="P1380" s="168"/>
      <c r="Q1380" s="170" t="e">
        <f>MONTH([1]!Tableau13[[#This Row],[Date début]])</f>
        <v>#REF!</v>
      </c>
      <c r="R1380" s="171" t="e">
        <f>YEAR([1]!Tableau13[[#This Row],[Date début]])</f>
        <v>#REF!</v>
      </c>
    </row>
    <row r="1381" spans="1:18">
      <c r="A1381" s="169">
        <v>45487</v>
      </c>
      <c r="B1381" s="170">
        <v>408</v>
      </c>
      <c r="C1381" s="160" t="str">
        <f>IF(ISNA(VLOOKUP(Tableau13[[#This Row],[Code]],'Code Véhicule'!$A$4:$C$185,2,0)),"",VLOOKUP(Tableau13[[#This Row],[Code]],'Code Véhicule'!$A$4:$C$185,2,0))</f>
        <v>Camion</v>
      </c>
      <c r="D1381" s="161" t="str">
        <f>IF(ISNA(VLOOKUP(Tableau13[[#This Row],[Code]],'Code Véhicule'!$A$4:$C$185,3,0)),"",VLOOKUP(Tableau13[[#This Row],[Code]],'Code Véhicule'!$A$4:$C$185,3,0))</f>
        <v>Mitsubishi</v>
      </c>
      <c r="E1381" s="159" t="str">
        <f>IF(ISNA(VLOOKUP(Tableau13[[#This Row],[Code]],'Code Véhicule'!$A$4:$D$185,4,0))," ",VLOOKUP(Tableau13[[#This Row],[Code]],'Code Véhicule'!$A$4:$D$185,4,0))</f>
        <v>4703-A-73</v>
      </c>
      <c r="F1381" s="170"/>
      <c r="G1381" s="162" t="s">
        <v>2396</v>
      </c>
      <c r="H1381" s="162" t="s">
        <v>661</v>
      </c>
      <c r="I1381" s="173" t="s">
        <v>302</v>
      </c>
      <c r="J1381" s="174" t="s">
        <v>2598</v>
      </c>
      <c r="K1381" s="170">
        <v>8749</v>
      </c>
      <c r="L1381" s="166">
        <v>180</v>
      </c>
      <c r="M1381" s="166">
        <v>240</v>
      </c>
      <c r="N1381" s="175">
        <v>45487</v>
      </c>
      <c r="O1381" s="168"/>
      <c r="P1381" s="168"/>
      <c r="Q1381" s="170" t="e">
        <f>MONTH([1]!Tableau13[[#This Row],[Date début]])</f>
        <v>#REF!</v>
      </c>
      <c r="R1381" s="171" t="e">
        <f>YEAR([1]!Tableau13[[#This Row],[Date début]])</f>
        <v>#REF!</v>
      </c>
    </row>
    <row r="1382" spans="1:18" ht="30">
      <c r="A1382" s="169">
        <v>45487</v>
      </c>
      <c r="B1382" s="170">
        <v>430</v>
      </c>
      <c r="C1382" s="160" t="str">
        <f>IF(ISNA(VLOOKUP(Tableau13[[#This Row],[Code]],'Code Véhicule'!$A$4:$C$185,2,0)),"",VLOOKUP(Tableau13[[#This Row],[Code]],'Code Véhicule'!$A$4:$C$185,2,0))</f>
        <v>Chariot elevateur</v>
      </c>
      <c r="D1382" s="161" t="str">
        <f>IF(ISNA(VLOOKUP(Tableau13[[#This Row],[Code]],'Code Véhicule'!$A$4:$C$185,3,0)),"",VLOOKUP(Tableau13[[#This Row],[Code]],'Code Véhicule'!$A$4:$C$185,3,0))</f>
        <v>Fenwick  H40</v>
      </c>
      <c r="E1382" s="159" t="str">
        <f>IF(ISNA(VLOOKUP(Tableau13[[#This Row],[Code]],'Code Véhicule'!$A$4:$D$185,4,0))," ",VLOOKUP(Tableau13[[#This Row],[Code]],'Code Véhicule'!$A$4:$D$185,4,0))</f>
        <v>-</v>
      </c>
      <c r="F1382" s="170"/>
      <c r="G1382" s="162" t="s">
        <v>2396</v>
      </c>
      <c r="H1382" s="172" t="s">
        <v>2446</v>
      </c>
      <c r="I1382" s="173" t="s">
        <v>780</v>
      </c>
      <c r="J1382" s="174" t="s">
        <v>2602</v>
      </c>
      <c r="K1382" s="170">
        <v>8763</v>
      </c>
      <c r="L1382" s="166">
        <v>1620</v>
      </c>
      <c r="M1382" s="166">
        <v>3440</v>
      </c>
      <c r="N1382" s="175">
        <v>45493</v>
      </c>
      <c r="O1382" s="168"/>
      <c r="P1382" s="168"/>
      <c r="Q1382" s="170" t="e">
        <f>MONTH([1]!Tableau13[[#This Row],[Date début]])</f>
        <v>#REF!</v>
      </c>
      <c r="R1382" s="171" t="e">
        <f>YEAR([1]!Tableau13[[#This Row],[Date début]])</f>
        <v>#REF!</v>
      </c>
    </row>
    <row r="1383" spans="1:18" ht="60">
      <c r="A1383" s="169">
        <v>45488</v>
      </c>
      <c r="B1383" s="170">
        <v>407</v>
      </c>
      <c r="C1383" s="160" t="str">
        <f>IF(ISNA(VLOOKUP(Tableau13[[#This Row],[Code]],'Code Véhicule'!$A$4:$C$185,2,0)),"",VLOOKUP(Tableau13[[#This Row],[Code]],'Code Véhicule'!$A$4:$C$185,2,0))</f>
        <v>Semi remorque</v>
      </c>
      <c r="D1383" s="161" t="str">
        <f>IF(ISNA(VLOOKUP(Tableau13[[#This Row],[Code]],'Code Véhicule'!$A$4:$C$185,3,0)),"",VLOOKUP(Tableau13[[#This Row],[Code]],'Code Véhicule'!$A$4:$C$185,3,0))</f>
        <v>MAN</v>
      </c>
      <c r="E1383" s="159" t="str">
        <f>IF(ISNA(VLOOKUP(Tableau13[[#This Row],[Code]],'Code Véhicule'!$A$4:$D$185,4,0))," ",VLOOKUP(Tableau13[[#This Row],[Code]],'Code Véhicule'!$A$4:$D$185,4,0))</f>
        <v>706-A-73</v>
      </c>
      <c r="F1383" s="170"/>
      <c r="G1383" s="162" t="s">
        <v>2396</v>
      </c>
      <c r="H1383" s="172" t="s">
        <v>2599</v>
      </c>
      <c r="I1383" s="173" t="s">
        <v>304</v>
      </c>
      <c r="J1383" s="174" t="s">
        <v>2600</v>
      </c>
      <c r="K1383" s="170">
        <v>8759</v>
      </c>
      <c r="L1383" s="166">
        <v>540</v>
      </c>
      <c r="M1383" s="166">
        <v>540</v>
      </c>
      <c r="N1383" s="175">
        <v>45488</v>
      </c>
      <c r="O1383" s="168"/>
      <c r="P1383" s="168"/>
      <c r="Q1383" s="170" t="e">
        <f>MONTH([1]!Tableau13[[#This Row],[Date début]])</f>
        <v>#REF!</v>
      </c>
      <c r="R1383" s="171" t="e">
        <f>YEAR([1]!Tableau13[[#This Row],[Date début]])</f>
        <v>#REF!</v>
      </c>
    </row>
    <row r="1384" spans="1:18">
      <c r="A1384" s="169">
        <v>45488</v>
      </c>
      <c r="B1384" s="170">
        <v>408</v>
      </c>
      <c r="C1384" s="160" t="str">
        <f>IF(ISNA(VLOOKUP(Tableau13[[#This Row],[Code]],'Code Véhicule'!$A$4:$C$185,2,0)),"",VLOOKUP(Tableau13[[#This Row],[Code]],'Code Véhicule'!$A$4:$C$185,2,0))</f>
        <v>Camion</v>
      </c>
      <c r="D1384" s="161" t="str">
        <f>IF(ISNA(VLOOKUP(Tableau13[[#This Row],[Code]],'Code Véhicule'!$A$4:$C$185,3,0)),"",VLOOKUP(Tableau13[[#This Row],[Code]],'Code Véhicule'!$A$4:$C$185,3,0))</f>
        <v>Mitsubishi</v>
      </c>
      <c r="E1384" s="159" t="str">
        <f>IF(ISNA(VLOOKUP(Tableau13[[#This Row],[Code]],'Code Véhicule'!$A$4:$D$185,4,0))," ",VLOOKUP(Tableau13[[#This Row],[Code]],'Code Véhicule'!$A$4:$D$185,4,0))</f>
        <v>4703-A-73</v>
      </c>
      <c r="F1384" s="170"/>
      <c r="G1384" s="162" t="s">
        <v>2391</v>
      </c>
      <c r="H1384" s="172" t="s">
        <v>313</v>
      </c>
      <c r="I1384" s="173" t="s">
        <v>304</v>
      </c>
      <c r="J1384" s="174" t="s">
        <v>2601</v>
      </c>
      <c r="K1384" s="170">
        <v>8762</v>
      </c>
      <c r="L1384" s="166">
        <v>2700</v>
      </c>
      <c r="M1384" s="166">
        <v>3440</v>
      </c>
      <c r="N1384" s="175">
        <v>45494</v>
      </c>
      <c r="O1384" s="168"/>
      <c r="P1384" s="168"/>
      <c r="Q1384" s="170" t="e">
        <f>MONTH([1]!Tableau13[[#This Row],[Date début]])</f>
        <v>#REF!</v>
      </c>
      <c r="R1384" s="171" t="e">
        <f>YEAR([1]!Tableau13[[#This Row],[Date début]])</f>
        <v>#REF!</v>
      </c>
    </row>
    <row r="1385" spans="1:18" ht="60">
      <c r="A1385" s="169">
        <v>45488</v>
      </c>
      <c r="B1385" s="170">
        <v>419</v>
      </c>
      <c r="C1385" s="160" t="str">
        <f>IF(ISNA(VLOOKUP(Tableau13[[#This Row],[Code]],'Code Véhicule'!$A$4:$C$185,2,0)),"",VLOOKUP(Tableau13[[#This Row],[Code]],'Code Véhicule'!$A$4:$C$185,2,0))</f>
        <v>Voiture de fonction</v>
      </c>
      <c r="D1385" s="161" t="str">
        <f>IF(ISNA(VLOOKUP(Tableau13[[#This Row],[Code]],'Code Véhicule'!$A$4:$C$185,3,0)),"",VLOOKUP(Tableau13[[#This Row],[Code]],'Code Véhicule'!$A$4:$C$185,3,0))</f>
        <v>kangoo</v>
      </c>
      <c r="E1385" s="159" t="str">
        <f>IF(ISNA(VLOOKUP(Tableau13[[#This Row],[Code]],'Code Véhicule'!$A$4:$D$185,4,0))," ",VLOOKUP(Tableau13[[#This Row],[Code]],'Code Véhicule'!$A$4:$D$185,4,0))</f>
        <v>4812-A-73</v>
      </c>
      <c r="F1385" s="170"/>
      <c r="G1385" s="162" t="s">
        <v>2396</v>
      </c>
      <c r="H1385" s="172" t="s">
        <v>2392</v>
      </c>
      <c r="I1385" s="173" t="s">
        <v>1511</v>
      </c>
      <c r="J1385" s="174" t="s">
        <v>2603</v>
      </c>
      <c r="K1385" s="170">
        <v>8764</v>
      </c>
      <c r="L1385" s="166">
        <v>180</v>
      </c>
      <c r="M1385" s="166">
        <v>180</v>
      </c>
      <c r="N1385" s="175">
        <v>45488</v>
      </c>
      <c r="O1385" s="168"/>
      <c r="P1385" s="168"/>
      <c r="Q1385" s="170" t="e">
        <f>MONTH([1]!Tableau13[[#This Row],[Date début]])</f>
        <v>#REF!</v>
      </c>
      <c r="R1385" s="171" t="e">
        <f>YEAR([1]!Tableau13[[#This Row],[Date début]])</f>
        <v>#REF!</v>
      </c>
    </row>
    <row r="1386" spans="1:18" ht="30">
      <c r="A1386" s="169">
        <v>45490</v>
      </c>
      <c r="B1386" s="170">
        <v>407</v>
      </c>
      <c r="C1386" s="160" t="str">
        <f>IF(ISNA(VLOOKUP(Tableau13[[#This Row],[Code]],'Code Véhicule'!$A$4:$C$185,2,0)),"",VLOOKUP(Tableau13[[#This Row],[Code]],'Code Véhicule'!$A$4:$C$185,2,0))</f>
        <v>Semi remorque</v>
      </c>
      <c r="D1386" s="161" t="str">
        <f>IF(ISNA(VLOOKUP(Tableau13[[#This Row],[Code]],'Code Véhicule'!$A$4:$C$185,3,0)),"",VLOOKUP(Tableau13[[#This Row],[Code]],'Code Véhicule'!$A$4:$C$185,3,0))</f>
        <v>MAN</v>
      </c>
      <c r="E1386" s="159" t="s">
        <v>410</v>
      </c>
      <c r="F1386" s="170"/>
      <c r="G1386" s="162" t="s">
        <v>2396</v>
      </c>
      <c r="H1386" s="172" t="s">
        <v>2392</v>
      </c>
      <c r="I1386" s="173" t="s">
        <v>1511</v>
      </c>
      <c r="J1386" s="174" t="s">
        <v>2604</v>
      </c>
      <c r="K1386" s="170">
        <v>8815</v>
      </c>
      <c r="L1386" s="166">
        <v>120</v>
      </c>
      <c r="M1386" s="166">
        <v>120</v>
      </c>
      <c r="N1386" s="175">
        <v>45490</v>
      </c>
      <c r="O1386" s="168"/>
      <c r="P1386" s="168"/>
      <c r="Q1386" s="170" t="e">
        <f>MONTH([1]!Tableau13[[#This Row],[Date début]])</f>
        <v>#REF!</v>
      </c>
      <c r="R1386" s="171" t="e">
        <f>YEAR([1]!Tableau13[[#This Row],[Date début]])</f>
        <v>#REF!</v>
      </c>
    </row>
    <row r="1387" spans="1:18">
      <c r="A1387" s="169">
        <v>45490</v>
      </c>
      <c r="B1387" s="170">
        <v>481</v>
      </c>
      <c r="C1387" s="160" t="str">
        <f>IF(ISNA(VLOOKUP(Tableau13[[#This Row],[Code]],'Code Véhicule'!$A$4:$C$185,2,0)),"",VLOOKUP(Tableau13[[#This Row],[Code]],'Code Véhicule'!$A$4:$C$185,2,0))</f>
        <v>Camion</v>
      </c>
      <c r="D1387" s="161" t="str">
        <f>IF(ISNA(VLOOKUP(Tableau13[[#This Row],[Code]],'Code Véhicule'!$A$4:$C$185,3,0)),"",VLOOKUP(Tableau13[[#This Row],[Code]],'Code Véhicule'!$A$4:$C$185,3,0))</f>
        <v>VOLVO</v>
      </c>
      <c r="E1387" s="159" t="str">
        <f>IF(ISNA(VLOOKUP(Tableau13[[#This Row],[Code]],'Code Véhicule'!$A$4:$D$185,4,0))," ",VLOOKUP(Tableau13[[#This Row],[Code]],'Code Véhicule'!$A$4:$D$185,4,0))</f>
        <v>22300-A-73</v>
      </c>
      <c r="F1387" s="170"/>
      <c r="G1387" s="162" t="s">
        <v>2396</v>
      </c>
      <c r="H1387" s="172" t="s">
        <v>2605</v>
      </c>
      <c r="I1387" s="173" t="s">
        <v>780</v>
      </c>
      <c r="J1387" s="174" t="s">
        <v>2546</v>
      </c>
      <c r="K1387" s="170">
        <v>8818</v>
      </c>
      <c r="L1387" s="166">
        <v>120</v>
      </c>
      <c r="M1387" s="166">
        <v>120</v>
      </c>
      <c r="N1387" s="175">
        <v>45490</v>
      </c>
      <c r="O1387" s="168"/>
      <c r="P1387" s="168"/>
      <c r="Q1387" s="170" t="e">
        <f>MONTH([1]!Tableau13[[#This Row],[Date début]])</f>
        <v>#REF!</v>
      </c>
      <c r="R1387" s="171" t="e">
        <f>YEAR([1]!Tableau13[[#This Row],[Date début]])</f>
        <v>#REF!</v>
      </c>
    </row>
    <row r="1388" spans="1:18" ht="30">
      <c r="A1388" s="169">
        <v>45490</v>
      </c>
      <c r="B1388" s="170">
        <v>403</v>
      </c>
      <c r="C1388" s="160" t="str">
        <f>IF(ISNA(VLOOKUP(Tableau13[[#This Row],[Code]],'Code Véhicule'!$A$4:$C$185,2,0)),"",VLOOKUP(Tableau13[[#This Row],[Code]],'Code Véhicule'!$A$4:$C$185,2,0))</f>
        <v>Camion</v>
      </c>
      <c r="D1388" s="161" t="str">
        <f>IF(ISNA(VLOOKUP(Tableau13[[#This Row],[Code]],'Code Véhicule'!$A$4:$C$185,3,0)),"",VLOOKUP(Tableau13[[#This Row],[Code]],'Code Véhicule'!$A$4:$C$185,3,0))</f>
        <v>MAN</v>
      </c>
      <c r="E1388" s="159" t="str">
        <f>IF(ISNA(VLOOKUP(Tableau13[[#This Row],[Code]],'Code Véhicule'!$A$4:$D$185,4,0))," ",VLOOKUP(Tableau13[[#This Row],[Code]],'Code Véhicule'!$A$4:$D$185,4,0))</f>
        <v>4790-B-8</v>
      </c>
      <c r="F1388" s="170"/>
      <c r="G1388" s="162" t="s">
        <v>525</v>
      </c>
      <c r="H1388" s="172" t="s">
        <v>2605</v>
      </c>
      <c r="I1388" s="173" t="s">
        <v>780</v>
      </c>
      <c r="J1388" s="174" t="s">
        <v>2606</v>
      </c>
      <c r="K1388" s="170">
        <v>8848</v>
      </c>
      <c r="L1388" s="166">
        <v>540</v>
      </c>
      <c r="M1388" s="166">
        <v>540</v>
      </c>
      <c r="N1388" s="175">
        <v>45490</v>
      </c>
      <c r="O1388" s="168"/>
      <c r="P1388" s="168"/>
      <c r="Q1388" s="170" t="e">
        <f>MONTH([1]!Tableau13[[#This Row],[Date début]])</f>
        <v>#REF!</v>
      </c>
      <c r="R1388" s="171" t="e">
        <f>YEAR([1]!Tableau13[[#This Row],[Date début]])</f>
        <v>#REF!</v>
      </c>
    </row>
    <row r="1389" spans="1:18">
      <c r="A1389" s="169">
        <v>45492</v>
      </c>
      <c r="B1389" s="170">
        <v>439</v>
      </c>
      <c r="C1389" s="160" t="str">
        <f>IF(ISNA(VLOOKUP(Tableau13[[#This Row],[Code]],'Code Véhicule'!$A$4:$C$185,2,0)),"",VLOOKUP(Tableau13[[#This Row],[Code]],'Code Véhicule'!$A$4:$C$185,2,0))</f>
        <v>Semi remorque</v>
      </c>
      <c r="D1389" s="161" t="str">
        <f>IF(ISNA(VLOOKUP(Tableau13[[#This Row],[Code]],'Code Véhicule'!$A$4:$C$185,3,0)),"",VLOOKUP(Tableau13[[#This Row],[Code]],'Code Véhicule'!$A$4:$C$185,3,0))</f>
        <v>VOLVO</v>
      </c>
      <c r="E1389" s="159" t="str">
        <f>IF(ISNA(VLOOKUP(Tableau13[[#This Row],[Code]],'Code Véhicule'!$A$4:$D$185,4,0))," ",VLOOKUP(Tableau13[[#This Row],[Code]],'Code Véhicule'!$A$4:$D$185,4,0))</f>
        <v xml:space="preserve">17886-A-73 </v>
      </c>
      <c r="F1389" s="170"/>
      <c r="G1389" s="162" t="s">
        <v>525</v>
      </c>
      <c r="H1389" s="172" t="s">
        <v>622</v>
      </c>
      <c r="I1389" s="173" t="s">
        <v>304</v>
      </c>
      <c r="J1389" s="174" t="s">
        <v>2545</v>
      </c>
      <c r="K1389" s="170">
        <v>8867</v>
      </c>
      <c r="L1389" s="166">
        <v>120</v>
      </c>
      <c r="M1389" s="166">
        <v>120</v>
      </c>
      <c r="N1389" s="175">
        <v>45492</v>
      </c>
      <c r="O1389" s="168"/>
      <c r="P1389" s="168"/>
      <c r="Q1389" s="170" t="e">
        <f>MONTH([1]!Tableau13[[#This Row],[Date début]])</f>
        <v>#REF!</v>
      </c>
      <c r="R1389" s="171" t="e">
        <f>YEAR([1]!Tableau13[[#This Row],[Date début]])</f>
        <v>#REF!</v>
      </c>
    </row>
    <row r="1390" spans="1:18">
      <c r="A1390" s="169">
        <v>45494</v>
      </c>
      <c r="B1390" s="170">
        <v>406</v>
      </c>
      <c r="C1390" s="160" t="str">
        <f>IF(ISNA(VLOOKUP(Tableau13[[#This Row],[Code]],'Code Véhicule'!$A$4:$C$185,2,0)),"",VLOOKUP(Tableau13[[#This Row],[Code]],'Code Véhicule'!$A$4:$C$185,2,0))</f>
        <v>Semi remorque</v>
      </c>
      <c r="D1390" s="161" t="str">
        <f>IF(ISNA(VLOOKUP(Tableau13[[#This Row],[Code]],'Code Véhicule'!$A$4:$C$185,3,0)),"",VLOOKUP(Tableau13[[#This Row],[Code]],'Code Véhicule'!$A$4:$C$185,3,0))</f>
        <v>VOLVO</v>
      </c>
      <c r="E1390" s="159" t="str">
        <f>IF(ISNA(VLOOKUP(Tableau13[[#This Row],[Code]],'Code Véhicule'!$A$4:$D$185,4,0))," ",VLOOKUP(Tableau13[[#This Row],[Code]],'Code Véhicule'!$A$4:$D$185,4,0))</f>
        <v>70352-A-6</v>
      </c>
      <c r="F1390" s="170"/>
      <c r="G1390" s="162" t="s">
        <v>2391</v>
      </c>
      <c r="H1390" s="172" t="s">
        <v>394</v>
      </c>
      <c r="I1390" s="173" t="s">
        <v>304</v>
      </c>
      <c r="J1390" s="174" t="s">
        <v>2607</v>
      </c>
      <c r="K1390" s="170">
        <v>8925</v>
      </c>
      <c r="L1390" s="166">
        <v>540</v>
      </c>
      <c r="M1390" s="166">
        <v>540</v>
      </c>
      <c r="N1390" s="175">
        <v>45494</v>
      </c>
      <c r="O1390" s="168"/>
      <c r="P1390" s="168"/>
      <c r="Q1390" s="170" t="e">
        <f>MONTH([1]!Tableau13[[#This Row],[Date début]])</f>
        <v>#REF!</v>
      </c>
      <c r="R1390" s="171" t="e">
        <f>YEAR([1]!Tableau13[[#This Row],[Date début]])</f>
        <v>#REF!</v>
      </c>
    </row>
    <row r="1391" spans="1:18">
      <c r="A1391" s="169">
        <v>45496</v>
      </c>
      <c r="B1391" s="170">
        <v>411</v>
      </c>
      <c r="C1391" s="160" t="str">
        <f>IF(ISNA(VLOOKUP(Tableau13[[#This Row],[Code]],'Code Véhicule'!$A$4:$C$185,2,0)),"",VLOOKUP(Tableau13[[#This Row],[Code]],'Code Véhicule'!$A$4:$C$185,2,0))</f>
        <v>Camion</v>
      </c>
      <c r="D1391" s="161" t="str">
        <f>IF(ISNA(VLOOKUP(Tableau13[[#This Row],[Code]],'Code Véhicule'!$A$4:$C$185,3,0)),"",VLOOKUP(Tableau13[[#This Row],[Code]],'Code Véhicule'!$A$4:$C$185,3,0))</f>
        <v>Renault</v>
      </c>
      <c r="E1391" s="159" t="str">
        <f>IF(ISNA(VLOOKUP(Tableau13[[#This Row],[Code]],'Code Véhicule'!$A$4:$D$185,4,0))," ",VLOOKUP(Tableau13[[#This Row],[Code]],'Code Véhicule'!$A$4:$D$185,4,0))</f>
        <v>25636-A-13</v>
      </c>
      <c r="F1391" s="170"/>
      <c r="G1391" s="162" t="s">
        <v>2396</v>
      </c>
      <c r="H1391" s="172" t="s">
        <v>2608</v>
      </c>
      <c r="I1391" s="173" t="s">
        <v>304</v>
      </c>
      <c r="J1391" s="174" t="s">
        <v>2609</v>
      </c>
      <c r="K1391" s="170">
        <v>8941</v>
      </c>
      <c r="L1391" s="166">
        <v>240</v>
      </c>
      <c r="M1391" s="166">
        <v>240</v>
      </c>
      <c r="N1391" s="175">
        <v>45496</v>
      </c>
      <c r="O1391" s="168"/>
      <c r="P1391" s="168"/>
      <c r="Q1391" s="170" t="e">
        <f>MONTH([1]!Tableau13[[#This Row],[Date début]])</f>
        <v>#REF!</v>
      </c>
      <c r="R1391" s="171" t="e">
        <f>YEAR([1]!Tableau13[[#This Row],[Date début]])</f>
        <v>#REF!</v>
      </c>
    </row>
    <row r="1392" spans="1:18">
      <c r="A1392" s="169">
        <v>45496</v>
      </c>
      <c r="B1392" s="170">
        <v>407</v>
      </c>
      <c r="C1392" s="160" t="str">
        <f>IF(ISNA(VLOOKUP(Tableau13[[#This Row],[Code]],'Code Véhicule'!$A$4:$C$185,2,0)),"",VLOOKUP(Tableau13[[#This Row],[Code]],'Code Véhicule'!$A$4:$C$185,2,0))</f>
        <v>Semi remorque</v>
      </c>
      <c r="D1392" s="161" t="str">
        <f>IF(ISNA(VLOOKUP(Tableau13[[#This Row],[Code]],'Code Véhicule'!$A$4:$C$185,3,0)),"",VLOOKUP(Tableau13[[#This Row],[Code]],'Code Véhicule'!$A$4:$C$185,3,0))</f>
        <v>MAN</v>
      </c>
      <c r="E1392" s="159" t="str">
        <f>IF(ISNA(VLOOKUP(Tableau13[[#This Row],[Code]],'Code Véhicule'!$A$4:$D$185,4,0))," ",VLOOKUP(Tableau13[[#This Row],[Code]],'Code Véhicule'!$A$4:$D$185,4,0))</f>
        <v>706-A-73</v>
      </c>
      <c r="F1392" s="170"/>
      <c r="G1392" s="162" t="s">
        <v>2396</v>
      </c>
      <c r="H1392" s="172" t="s">
        <v>353</v>
      </c>
      <c r="I1392" s="173" t="s">
        <v>304</v>
      </c>
      <c r="J1392" s="174" t="s">
        <v>2610</v>
      </c>
      <c r="K1392" s="170">
        <v>8941</v>
      </c>
      <c r="L1392" s="166">
        <v>120</v>
      </c>
      <c r="M1392" s="166">
        <v>120</v>
      </c>
      <c r="N1392" s="175">
        <v>45496</v>
      </c>
      <c r="O1392" s="168"/>
      <c r="P1392" s="168"/>
      <c r="Q1392" s="170" t="e">
        <f>MONTH([1]!Tableau13[[#This Row],[Date début]])</f>
        <v>#REF!</v>
      </c>
      <c r="R1392" s="171" t="e">
        <f>YEAR([1]!Tableau13[[#This Row],[Date début]])</f>
        <v>#REF!</v>
      </c>
    </row>
    <row r="1393" spans="1:18" ht="30">
      <c r="A1393" s="169">
        <v>45497</v>
      </c>
      <c r="B1393" s="170">
        <v>407</v>
      </c>
      <c r="C1393" s="160" t="str">
        <f>IF(ISNA(VLOOKUP(Tableau13[[#This Row],[Code]],'Code Véhicule'!$A$4:$C$185,2,0)),"",VLOOKUP(Tableau13[[#This Row],[Code]],'Code Véhicule'!$A$4:$C$185,2,0))</f>
        <v>Semi remorque</v>
      </c>
      <c r="D1393" s="161" t="str">
        <f>IF(ISNA(VLOOKUP(Tableau13[[#This Row],[Code]],'Code Véhicule'!$A$4:$C$185,3,0)),"",VLOOKUP(Tableau13[[#This Row],[Code]],'Code Véhicule'!$A$4:$C$185,3,0))</f>
        <v>MAN</v>
      </c>
      <c r="E1393" s="159" t="str">
        <f>IF(ISNA(VLOOKUP(Tableau13[[#This Row],[Code]],'Code Véhicule'!$A$4:$D$185,4,0))," ",VLOOKUP(Tableau13[[#This Row],[Code]],'Code Véhicule'!$A$4:$D$185,4,0))</f>
        <v>706-A-73</v>
      </c>
      <c r="F1393" s="170"/>
      <c r="G1393" s="162" t="s">
        <v>2396</v>
      </c>
      <c r="H1393" s="172" t="s">
        <v>610</v>
      </c>
      <c r="I1393" s="173" t="s">
        <v>304</v>
      </c>
      <c r="J1393" s="174" t="s">
        <v>2611</v>
      </c>
      <c r="K1393" s="170">
        <v>8981</v>
      </c>
      <c r="L1393" s="166">
        <v>2700</v>
      </c>
      <c r="M1393" s="166">
        <v>3780</v>
      </c>
      <c r="N1393" s="175">
        <v>45504</v>
      </c>
      <c r="O1393" s="168"/>
      <c r="P1393" s="168"/>
      <c r="Q1393" s="170" t="e">
        <f>MONTH([1]!Tableau13[[#This Row],[Date début]])</f>
        <v>#REF!</v>
      </c>
      <c r="R1393" s="171" t="e">
        <f>YEAR([1]!Tableau13[[#This Row],[Date début]])</f>
        <v>#REF!</v>
      </c>
    </row>
    <row r="1394" spans="1:18" ht="45">
      <c r="A1394" s="169">
        <v>45497</v>
      </c>
      <c r="B1394" s="170">
        <v>431</v>
      </c>
      <c r="C1394" s="160" t="str">
        <f>IF(ISNA(VLOOKUP(Tableau13[[#This Row],[Code]],'Code Véhicule'!$A$4:$C$185,2,0)),"",VLOOKUP(Tableau13[[#This Row],[Code]],'Code Véhicule'!$A$4:$C$185,2,0))</f>
        <v>Chariot elevateur</v>
      </c>
      <c r="D1394" s="161" t="str">
        <f>IF(ISNA(VLOOKUP(Tableau13[[#This Row],[Code]],'Code Véhicule'!$A$4:$C$185,3,0)),"",VLOOKUP(Tableau13[[#This Row],[Code]],'Code Véhicule'!$A$4:$C$185,3,0))</f>
        <v>Manitou M26-2</v>
      </c>
      <c r="E1394" s="159" t="str">
        <f>IF(ISNA(VLOOKUP(Tableau13[[#This Row],[Code]],'Code Véhicule'!$A$4:$D$185,4,0))," ",VLOOKUP(Tableau13[[#This Row],[Code]],'Code Véhicule'!$A$4:$D$185,4,0))</f>
        <v>-</v>
      </c>
      <c r="F1394" s="170"/>
      <c r="G1394" s="162" t="s">
        <v>2396</v>
      </c>
      <c r="H1394" s="172" t="s">
        <v>2392</v>
      </c>
      <c r="I1394" s="173" t="s">
        <v>302</v>
      </c>
      <c r="J1394" s="174" t="s">
        <v>2612</v>
      </c>
      <c r="K1394" s="170" t="s">
        <v>2613</v>
      </c>
      <c r="L1394" s="166">
        <v>240</v>
      </c>
      <c r="M1394" s="166">
        <v>240</v>
      </c>
      <c r="N1394" s="175">
        <v>45497</v>
      </c>
      <c r="O1394" s="168"/>
      <c r="P1394" s="168"/>
      <c r="Q1394" s="170" t="e">
        <f>MONTH([1]!Tableau13[[#This Row],[Date début]])</f>
        <v>#REF!</v>
      </c>
      <c r="R1394" s="171" t="e">
        <f>YEAR([1]!Tableau13[[#This Row],[Date début]])</f>
        <v>#REF!</v>
      </c>
    </row>
    <row r="1395" spans="1:18" ht="30">
      <c r="A1395" s="169">
        <v>45497</v>
      </c>
      <c r="B1395" s="170">
        <v>409</v>
      </c>
      <c r="C1395" s="160" t="str">
        <f>IF(ISNA(VLOOKUP(Tableau13[[#This Row],[Code]],'Code Véhicule'!$A$4:$C$185,2,0)),"",VLOOKUP(Tableau13[[#This Row],[Code]],'Code Véhicule'!$A$4:$C$185,2,0))</f>
        <v>Camion</v>
      </c>
      <c r="D1395" s="161" t="str">
        <f>IF(ISNA(VLOOKUP(Tableau13[[#This Row],[Code]],'Code Véhicule'!$A$4:$C$185,3,0)),"",VLOOKUP(Tableau13[[#This Row],[Code]],'Code Véhicule'!$A$4:$C$185,3,0))</f>
        <v>Mitsubishi</v>
      </c>
      <c r="E1395" s="159" t="str">
        <f>IF(ISNA(VLOOKUP(Tableau13[[#This Row],[Code]],'Code Véhicule'!$A$4:$D$185,4,0))," ",VLOOKUP(Tableau13[[#This Row],[Code]],'Code Véhicule'!$A$4:$D$185,4,0))</f>
        <v xml:space="preserve">4969-A-73 </v>
      </c>
      <c r="F1395" s="170"/>
      <c r="G1395" s="162" t="s">
        <v>2396</v>
      </c>
      <c r="H1395" s="172" t="s">
        <v>394</v>
      </c>
      <c r="I1395" s="173" t="s">
        <v>304</v>
      </c>
      <c r="J1395" s="174" t="s">
        <v>2614</v>
      </c>
      <c r="K1395" s="170">
        <v>8984</v>
      </c>
      <c r="L1395" s="166">
        <v>1080</v>
      </c>
      <c r="M1395" s="166">
        <v>1080</v>
      </c>
      <c r="N1395" s="175">
        <v>45498</v>
      </c>
      <c r="O1395" s="168"/>
      <c r="P1395" s="168"/>
      <c r="Q1395" s="170" t="e">
        <f>MONTH([1]!Tableau13[[#This Row],[Date début]])</f>
        <v>#REF!</v>
      </c>
      <c r="R1395" s="171" t="e">
        <f>YEAR([1]!Tableau13[[#This Row],[Date début]])</f>
        <v>#REF!</v>
      </c>
    </row>
    <row r="1396" spans="1:18">
      <c r="A1396" s="169">
        <v>45497</v>
      </c>
      <c r="B1396" s="170">
        <v>472</v>
      </c>
      <c r="C1396" s="160" t="str">
        <f>IF(ISNA(VLOOKUP(Tableau13[[#This Row],[Code]],'Code Véhicule'!$A$4:$C$185,2,0)),"",VLOOKUP(Tableau13[[#This Row],[Code]],'Code Véhicule'!$A$4:$C$185,2,0))</f>
        <v>Chariot elevateur</v>
      </c>
      <c r="D1396" s="161" t="str">
        <f>IF(ISNA(VLOOKUP(Tableau13[[#This Row],[Code]],'Code Véhicule'!$A$4:$C$185,3,0)),"",VLOOKUP(Tableau13[[#This Row],[Code]],'Code Véhicule'!$A$4:$C$185,3,0))</f>
        <v>Linde H25d</v>
      </c>
      <c r="E1396" s="159" t="str">
        <f>IF(ISNA(VLOOKUP(Tableau13[[#This Row],[Code]],'Code Véhicule'!$A$4:$D$185,4,0))," ",VLOOKUP(Tableau13[[#This Row],[Code]],'Code Véhicule'!$A$4:$D$185,4,0))</f>
        <v>-</v>
      </c>
      <c r="F1396" s="170"/>
      <c r="G1396" s="162" t="s">
        <v>2396</v>
      </c>
      <c r="H1396" s="172" t="s">
        <v>2422</v>
      </c>
      <c r="I1396" s="173" t="s">
        <v>304</v>
      </c>
      <c r="J1396" s="174" t="s">
        <v>2615</v>
      </c>
      <c r="K1396" s="170">
        <v>8985</v>
      </c>
      <c r="L1396" s="166">
        <v>540</v>
      </c>
      <c r="M1396" s="166">
        <v>540</v>
      </c>
      <c r="N1396" s="175">
        <v>45497</v>
      </c>
      <c r="O1396" s="168"/>
      <c r="P1396" s="168"/>
      <c r="Q1396" s="170" t="e">
        <f>MONTH([1]!Tableau13[[#This Row],[Date début]])</f>
        <v>#REF!</v>
      </c>
      <c r="R1396" s="171" t="e">
        <f>YEAR([1]!Tableau13[[#This Row],[Date début]])</f>
        <v>#REF!</v>
      </c>
    </row>
    <row r="1397" spans="1:18">
      <c r="A1397" s="169">
        <v>45497</v>
      </c>
      <c r="B1397" s="170">
        <v>480</v>
      </c>
      <c r="C1397" s="160" t="str">
        <f>IF(ISNA(VLOOKUP(Tableau13[[#This Row],[Code]],'Code Véhicule'!$A$4:$C$185,2,0)),"",VLOOKUP(Tableau13[[#This Row],[Code]],'Code Véhicule'!$A$4:$C$185,2,0))</f>
        <v>Camion</v>
      </c>
      <c r="D1397" s="161" t="str">
        <f>IF(ISNA(VLOOKUP(Tableau13[[#This Row],[Code]],'Code Véhicule'!$A$4:$C$185,3,0)),"",VLOOKUP(Tableau13[[#This Row],[Code]],'Code Véhicule'!$A$4:$C$185,3,0))</f>
        <v>VOLVO</v>
      </c>
      <c r="E1397" s="159" t="str">
        <f>IF(ISNA(VLOOKUP(Tableau13[[#This Row],[Code]],'Code Véhicule'!$A$4:$D$185,4,0))," ",VLOOKUP(Tableau13[[#This Row],[Code]],'Code Véhicule'!$A$4:$D$185,4,0))</f>
        <v>22299-A-73</v>
      </c>
      <c r="F1397" s="170"/>
      <c r="G1397" s="162" t="s">
        <v>2396</v>
      </c>
      <c r="H1397" s="172" t="s">
        <v>2422</v>
      </c>
      <c r="I1397" s="173" t="s">
        <v>304</v>
      </c>
      <c r="J1397" s="174" t="s">
        <v>2591</v>
      </c>
      <c r="K1397" s="170">
        <v>8986</v>
      </c>
      <c r="L1397" s="166">
        <v>120</v>
      </c>
      <c r="M1397" s="166">
        <v>120</v>
      </c>
      <c r="N1397" s="175">
        <v>45497</v>
      </c>
      <c r="O1397" s="168"/>
      <c r="P1397" s="168"/>
      <c r="Q1397" s="170" t="e">
        <f>MONTH([1]!Tableau13[[#This Row],[Date début]])</f>
        <v>#REF!</v>
      </c>
      <c r="R1397" s="171" t="e">
        <f>YEAR([1]!Tableau13[[#This Row],[Date début]])</f>
        <v>#REF!</v>
      </c>
    </row>
    <row r="1398" spans="1:18">
      <c r="A1398" s="169">
        <v>45497</v>
      </c>
      <c r="B1398" s="170">
        <v>439</v>
      </c>
      <c r="C1398" s="160" t="str">
        <f>IF(ISNA(VLOOKUP(Tableau13[[#This Row],[Code]],'Code Véhicule'!$A$4:$C$185,2,0)),"",VLOOKUP(Tableau13[[#This Row],[Code]],'Code Véhicule'!$A$4:$C$185,2,0))</f>
        <v>Semi remorque</v>
      </c>
      <c r="D1398" s="161" t="str">
        <f>IF(ISNA(VLOOKUP(Tableau13[[#This Row],[Code]],'Code Véhicule'!$A$4:$C$185,3,0)),"",VLOOKUP(Tableau13[[#This Row],[Code]],'Code Véhicule'!$A$4:$C$185,3,0))</f>
        <v>VOLVO</v>
      </c>
      <c r="E1398" s="159" t="str">
        <f>IF(ISNA(VLOOKUP(Tableau13[[#This Row],[Code]],'Code Véhicule'!$A$4:$D$185,4,0))," ",VLOOKUP(Tableau13[[#This Row],[Code]],'Code Véhicule'!$A$4:$D$185,4,0))</f>
        <v xml:space="preserve">17886-A-73 </v>
      </c>
      <c r="F1398" s="170"/>
      <c r="G1398" s="162" t="s">
        <v>2396</v>
      </c>
      <c r="H1398" s="172" t="s">
        <v>353</v>
      </c>
      <c r="I1398" s="173" t="s">
        <v>304</v>
      </c>
      <c r="J1398" s="174" t="s">
        <v>2423</v>
      </c>
      <c r="K1398" s="170">
        <v>8988</v>
      </c>
      <c r="L1398" s="166">
        <v>120</v>
      </c>
      <c r="M1398" s="166">
        <v>120</v>
      </c>
      <c r="N1398" s="175">
        <v>45497</v>
      </c>
      <c r="O1398" s="168"/>
      <c r="P1398" s="168"/>
      <c r="Q1398" s="170" t="e">
        <f>MONTH([1]!Tableau13[[#This Row],[Date début]])</f>
        <v>#REF!</v>
      </c>
      <c r="R1398" s="171" t="e">
        <f>YEAR([1]!Tableau13[[#This Row],[Date début]])</f>
        <v>#REF!</v>
      </c>
    </row>
    <row r="1399" spans="1:18">
      <c r="A1399" s="169">
        <v>45505</v>
      </c>
      <c r="B1399" s="170">
        <v>481</v>
      </c>
      <c r="C1399" s="160" t="str">
        <f>IF(ISNA(VLOOKUP(Tableau13[[#This Row],[Code]],'Code Véhicule'!$A$4:$C$185,2,0)),"",VLOOKUP(Tableau13[[#This Row],[Code]],'Code Véhicule'!$A$4:$C$185,2,0))</f>
        <v>Camion</v>
      </c>
      <c r="D1399" s="161" t="str">
        <f>IF(ISNA(VLOOKUP(Tableau13[[#This Row],[Code]],'Code Véhicule'!$A$4:$C$185,3,0)),"",VLOOKUP(Tableau13[[#This Row],[Code]],'Code Véhicule'!$A$4:$C$185,3,0))</f>
        <v>VOLVO</v>
      </c>
      <c r="E1399" s="159" t="str">
        <f>IF(ISNA(VLOOKUP(Tableau13[[#This Row],[Code]],'Code Véhicule'!$A$4:$D$185,4,0))," ",VLOOKUP(Tableau13[[#This Row],[Code]],'Code Véhicule'!$A$4:$D$185,4,0))</f>
        <v>22300-A-73</v>
      </c>
      <c r="F1399" s="170"/>
      <c r="G1399" s="162" t="s">
        <v>2396</v>
      </c>
      <c r="H1399" s="172" t="s">
        <v>560</v>
      </c>
      <c r="I1399" s="173" t="s">
        <v>304</v>
      </c>
      <c r="J1399" s="174" t="s">
        <v>2506</v>
      </c>
      <c r="K1399" s="170">
        <v>9176</v>
      </c>
      <c r="L1399" s="166">
        <v>180</v>
      </c>
      <c r="M1399" s="166">
        <v>180</v>
      </c>
      <c r="N1399" s="175">
        <v>45505</v>
      </c>
      <c r="O1399" s="168"/>
      <c r="P1399" s="168"/>
      <c r="Q1399" s="170" t="e">
        <f>MONTH([1]!Tableau13[[#This Row],[Date début]])</f>
        <v>#REF!</v>
      </c>
      <c r="R1399" s="171" t="e">
        <f>YEAR([1]!Tableau13[[#This Row],[Date début]])</f>
        <v>#REF!</v>
      </c>
    </row>
    <row r="1400" spans="1:18" ht="45">
      <c r="A1400" s="169">
        <v>45505</v>
      </c>
      <c r="B1400" s="170">
        <v>409</v>
      </c>
      <c r="C1400" s="160" t="str">
        <f>IF(ISNA(VLOOKUP(Tableau13[[#This Row],[Code]],'Code Véhicule'!$A$4:$C$185,2,0)),"",VLOOKUP(Tableau13[[#This Row],[Code]],'Code Véhicule'!$A$4:$C$185,2,0))</f>
        <v>Camion</v>
      </c>
      <c r="D1400" s="161" t="str">
        <f>IF(ISNA(VLOOKUP(Tableau13[[#This Row],[Code]],'Code Véhicule'!$A$4:$C$185,3,0)),"",VLOOKUP(Tableau13[[#This Row],[Code]],'Code Véhicule'!$A$4:$C$185,3,0))</f>
        <v>Mitsubishi</v>
      </c>
      <c r="E1400" s="159" t="str">
        <f>IF(ISNA(VLOOKUP(Tableau13[[#This Row],[Code]],'Code Véhicule'!$A$4:$D$185,4,0))," ",VLOOKUP(Tableau13[[#This Row],[Code]],'Code Véhicule'!$A$4:$D$185,4,0))</f>
        <v xml:space="preserve">4969-A-73 </v>
      </c>
      <c r="F1400" s="170"/>
      <c r="G1400" s="162" t="s">
        <v>2396</v>
      </c>
      <c r="H1400" s="172" t="s">
        <v>2616</v>
      </c>
      <c r="I1400" s="173" t="s">
        <v>304</v>
      </c>
      <c r="J1400" s="174" t="s">
        <v>2617</v>
      </c>
      <c r="K1400" s="170"/>
      <c r="L1400" s="166">
        <v>540</v>
      </c>
      <c r="M1400" s="166">
        <v>540</v>
      </c>
      <c r="N1400" s="175">
        <v>45505</v>
      </c>
      <c r="O1400" s="168"/>
      <c r="P1400" s="168"/>
      <c r="Q1400" s="170" t="e">
        <f>MONTH([1]!Tableau13[[#This Row],[Date début]])</f>
        <v>#REF!</v>
      </c>
      <c r="R1400" s="171" t="e">
        <f>YEAR([1]!Tableau13[[#This Row],[Date début]])</f>
        <v>#REF!</v>
      </c>
    </row>
    <row r="1401" spans="1:18">
      <c r="A1401" s="169">
        <v>45506</v>
      </c>
      <c r="B1401" s="170">
        <v>430</v>
      </c>
      <c r="C1401" s="160" t="str">
        <f>IF(ISNA(VLOOKUP(Tableau13[[#This Row],[Code]],'Code Véhicule'!$A$4:$C$185,2,0)),"",VLOOKUP(Tableau13[[#This Row],[Code]],'Code Véhicule'!$A$4:$C$185,2,0))</f>
        <v>Chariot elevateur</v>
      </c>
      <c r="D1401" s="161" t="str">
        <f>IF(ISNA(VLOOKUP(Tableau13[[#This Row],[Code]],'Code Véhicule'!$A$4:$C$185,3,0)),"",VLOOKUP(Tableau13[[#This Row],[Code]],'Code Véhicule'!$A$4:$C$185,3,0))</f>
        <v>Fenwick  H40</v>
      </c>
      <c r="E1401" s="159" t="str">
        <f>IF(ISNA(VLOOKUP(Tableau13[[#This Row],[Code]],'Code Véhicule'!$A$4:$D$185,4,0))," ",VLOOKUP(Tableau13[[#This Row],[Code]],'Code Véhicule'!$A$4:$D$185,4,0))</f>
        <v>-</v>
      </c>
      <c r="F1401" s="170"/>
      <c r="G1401" s="162" t="s">
        <v>2396</v>
      </c>
      <c r="H1401" s="172" t="s">
        <v>353</v>
      </c>
      <c r="I1401" s="173" t="s">
        <v>304</v>
      </c>
      <c r="J1401" s="174" t="s">
        <v>2620</v>
      </c>
      <c r="K1401" s="170">
        <v>9193</v>
      </c>
      <c r="L1401" s="166">
        <v>1080</v>
      </c>
      <c r="M1401" s="166">
        <v>1080</v>
      </c>
      <c r="N1401" s="175">
        <v>45630</v>
      </c>
      <c r="O1401" s="168"/>
      <c r="P1401" s="168"/>
      <c r="Q1401" s="170" t="e">
        <f>MONTH([1]!Tableau13[[#This Row],[Date début]])</f>
        <v>#REF!</v>
      </c>
      <c r="R1401" s="171" t="e">
        <f>YEAR([1]!Tableau13[[#This Row],[Date début]])</f>
        <v>#REF!</v>
      </c>
    </row>
    <row r="1402" spans="1:18" ht="30">
      <c r="A1402" s="169">
        <v>45506</v>
      </c>
      <c r="B1402" s="170">
        <v>427</v>
      </c>
      <c r="C1402" s="160" t="str">
        <f>IF(ISNA(VLOOKUP(Tableau13[[#This Row],[Code]],'Code Véhicule'!$A$4:$C$185,2,0)),"",VLOOKUP(Tableau13[[#This Row],[Code]],'Code Véhicule'!$A$4:$C$185,2,0))</f>
        <v>Chariot elevateur</v>
      </c>
      <c r="D1402" s="161" t="str">
        <f>IF(ISNA(VLOOKUP(Tableau13[[#This Row],[Code]],'Code Véhicule'!$A$4:$C$185,3,0)),"",VLOOKUP(Tableau13[[#This Row],[Code]],'Code Véhicule'!$A$4:$C$185,3,0))</f>
        <v>Linde H30</v>
      </c>
      <c r="E1402" s="159" t="str">
        <f>IF(ISNA(VLOOKUP(Tableau13[[#This Row],[Code]],'Code Véhicule'!$A$4:$D$185,4,0))," ",VLOOKUP(Tableau13[[#This Row],[Code]],'Code Véhicule'!$A$4:$D$185,4,0))</f>
        <v>-</v>
      </c>
      <c r="F1402" s="170"/>
      <c r="G1402" s="162" t="s">
        <v>525</v>
      </c>
      <c r="H1402" s="172" t="s">
        <v>2446</v>
      </c>
      <c r="I1402" s="173" t="s">
        <v>304</v>
      </c>
      <c r="J1402" s="174" t="s">
        <v>2621</v>
      </c>
      <c r="K1402" s="170">
        <v>9199</v>
      </c>
      <c r="L1402" s="166">
        <v>120</v>
      </c>
      <c r="M1402" s="166">
        <v>120</v>
      </c>
      <c r="N1402" s="175">
        <v>45506</v>
      </c>
      <c r="O1402" s="168"/>
      <c r="P1402" s="168"/>
      <c r="Q1402" s="170" t="e">
        <f>MONTH([1]!Tableau13[[#This Row],[Date début]])</f>
        <v>#REF!</v>
      </c>
      <c r="R1402" s="171" t="e">
        <f>YEAR([1]!Tableau13[[#This Row],[Date début]])</f>
        <v>#REF!</v>
      </c>
    </row>
    <row r="1403" spans="1:18" ht="30">
      <c r="A1403" s="169">
        <v>45506</v>
      </c>
      <c r="B1403" s="170">
        <v>430</v>
      </c>
      <c r="C1403" s="160" t="str">
        <f>IF(ISNA(VLOOKUP(Tableau13[[#This Row],[Code]],'Code Véhicule'!$A$4:$C$185,2,0)),"",VLOOKUP(Tableau13[[#This Row],[Code]],'Code Véhicule'!$A$4:$C$185,2,0))</f>
        <v>Chariot elevateur</v>
      </c>
      <c r="D1403" s="161" t="str">
        <f>IF(ISNA(VLOOKUP(Tableau13[[#This Row],[Code]],'Code Véhicule'!$A$4:$C$185,3,0)),"",VLOOKUP(Tableau13[[#This Row],[Code]],'Code Véhicule'!$A$4:$C$185,3,0))</f>
        <v>Fenwick  H40</v>
      </c>
      <c r="E1403" s="159" t="str">
        <f>IF(ISNA(VLOOKUP(Tableau13[[#This Row],[Code]],'Code Véhicule'!$A$4:$D$185,4,0))," ",VLOOKUP(Tableau13[[#This Row],[Code]],'Code Véhicule'!$A$4:$D$185,4,0))</f>
        <v>-</v>
      </c>
      <c r="F1403" s="170"/>
      <c r="G1403" s="162" t="s">
        <v>2396</v>
      </c>
      <c r="H1403" s="172" t="s">
        <v>2622</v>
      </c>
      <c r="I1403" s="173" t="s">
        <v>304</v>
      </c>
      <c r="J1403" s="174" t="s">
        <v>2623</v>
      </c>
      <c r="K1403" s="170">
        <v>9193</v>
      </c>
      <c r="L1403" s="166">
        <v>1080</v>
      </c>
      <c r="M1403" s="166">
        <v>1080</v>
      </c>
      <c r="N1403" s="175">
        <v>45508</v>
      </c>
      <c r="O1403" s="168"/>
      <c r="P1403" s="168"/>
      <c r="Q1403" s="170" t="e">
        <f>MONTH([1]!Tableau13[[#This Row],[Date début]])</f>
        <v>#REF!</v>
      </c>
      <c r="R1403" s="171" t="e">
        <f>YEAR([1]!Tableau13[[#This Row],[Date début]])</f>
        <v>#REF!</v>
      </c>
    </row>
    <row r="1404" spans="1:18" ht="30">
      <c r="A1404" s="169">
        <v>45506</v>
      </c>
      <c r="B1404" s="170">
        <v>406</v>
      </c>
      <c r="C1404" s="160" t="str">
        <f>IF(ISNA(VLOOKUP(Tableau13[[#This Row],[Code]],'Code Véhicule'!$A$4:$C$185,2,0)),"",VLOOKUP(Tableau13[[#This Row],[Code]],'Code Véhicule'!$A$4:$C$185,2,0))</f>
        <v>Semi remorque</v>
      </c>
      <c r="D1404" s="161" t="str">
        <f>IF(ISNA(VLOOKUP(Tableau13[[#This Row],[Code]],'Code Véhicule'!$A$4:$C$185,3,0)),"",VLOOKUP(Tableau13[[#This Row],[Code]],'Code Véhicule'!$A$4:$C$185,3,0))</f>
        <v>VOLVO</v>
      </c>
      <c r="E1404" s="159" t="str">
        <f>IF(ISNA(VLOOKUP(Tableau13[[#This Row],[Code]],'Code Véhicule'!$A$4:$D$185,4,0))," ",VLOOKUP(Tableau13[[#This Row],[Code]],'Code Véhicule'!$A$4:$D$185,4,0))</f>
        <v>70352-A-6</v>
      </c>
      <c r="F1404" s="170"/>
      <c r="G1404" s="162" t="s">
        <v>525</v>
      </c>
      <c r="H1404" s="172" t="s">
        <v>2446</v>
      </c>
      <c r="I1404" s="173" t="s">
        <v>304</v>
      </c>
      <c r="J1404" s="174" t="s">
        <v>2618</v>
      </c>
      <c r="K1404" s="170">
        <v>9190</v>
      </c>
      <c r="L1404" s="166">
        <v>120</v>
      </c>
      <c r="M1404" s="166">
        <v>120</v>
      </c>
      <c r="N1404" s="175">
        <v>45506</v>
      </c>
      <c r="O1404" s="168"/>
      <c r="P1404" s="168"/>
      <c r="Q1404" s="170" t="e">
        <f>MONTH([1]!Tableau13[[#This Row],[Date début]])</f>
        <v>#REF!</v>
      </c>
      <c r="R1404" s="171" t="e">
        <f>YEAR([1]!Tableau13[[#This Row],[Date début]])</f>
        <v>#REF!</v>
      </c>
    </row>
    <row r="1405" spans="1:18" ht="30">
      <c r="A1405" s="169">
        <v>45506</v>
      </c>
      <c r="B1405" s="170">
        <v>480</v>
      </c>
      <c r="C1405" s="160" t="str">
        <f>IF(ISNA(VLOOKUP(Tableau13[[#This Row],[Code]],'Code Véhicule'!$A$4:$C$185,2,0)),"",VLOOKUP(Tableau13[[#This Row],[Code]],'Code Véhicule'!$A$4:$C$185,2,0))</f>
        <v>Camion</v>
      </c>
      <c r="D1405" s="161" t="str">
        <f>IF(ISNA(VLOOKUP(Tableau13[[#This Row],[Code]],'Code Véhicule'!$A$4:$C$185,3,0)),"",VLOOKUP(Tableau13[[#This Row],[Code]],'Code Véhicule'!$A$4:$C$185,3,0))</f>
        <v>VOLVO</v>
      </c>
      <c r="E1405" s="159" t="str">
        <f>IF(ISNA(VLOOKUP(Tableau13[[#This Row],[Code]],'Code Véhicule'!$A$4:$D$185,4,0))," ",VLOOKUP(Tableau13[[#This Row],[Code]],'Code Véhicule'!$A$4:$D$185,4,0))</f>
        <v>22299-A-73</v>
      </c>
      <c r="F1405" s="170"/>
      <c r="G1405" s="162" t="s">
        <v>2396</v>
      </c>
      <c r="H1405" s="172" t="s">
        <v>2392</v>
      </c>
      <c r="I1405" s="173" t="s">
        <v>1511</v>
      </c>
      <c r="J1405" s="174" t="s">
        <v>2574</v>
      </c>
      <c r="K1405" s="170">
        <v>9191</v>
      </c>
      <c r="L1405" s="166">
        <v>120</v>
      </c>
      <c r="M1405" s="166">
        <v>120</v>
      </c>
      <c r="N1405" s="175">
        <v>45506</v>
      </c>
      <c r="O1405" s="168"/>
      <c r="P1405" s="168"/>
      <c r="Q1405" s="170" t="e">
        <f>MONTH([1]!Tableau13[[#This Row],[Date début]])</f>
        <v>#REF!</v>
      </c>
      <c r="R1405" s="171" t="e">
        <f>YEAR([1]!Tableau13[[#This Row],[Date début]])</f>
        <v>#REF!</v>
      </c>
    </row>
    <row r="1406" spans="1:18" ht="30">
      <c r="A1406" s="169">
        <v>45506</v>
      </c>
      <c r="B1406" s="170">
        <v>427</v>
      </c>
      <c r="C1406" s="160" t="str">
        <f>IF(ISNA(VLOOKUP(Tableau13[[#This Row],[Code]],'Code Véhicule'!$A$4:$C$185,2,0)),"",VLOOKUP(Tableau13[[#This Row],[Code]],'Code Véhicule'!$A$4:$C$185,2,0))</f>
        <v>Chariot elevateur</v>
      </c>
      <c r="D1406" s="161" t="str">
        <f>IF(ISNA(VLOOKUP(Tableau13[[#This Row],[Code]],'Code Véhicule'!$A$4:$C$185,3,0)),"",VLOOKUP(Tableau13[[#This Row],[Code]],'Code Véhicule'!$A$4:$C$185,3,0))</f>
        <v>Linde H30</v>
      </c>
      <c r="E1406" s="159" t="str">
        <f>IF(ISNA(VLOOKUP(Tableau13[[#This Row],[Code]],'Code Véhicule'!$A$4:$D$185,4,0))," ",VLOOKUP(Tableau13[[#This Row],[Code]],'Code Véhicule'!$A$4:$D$185,4,0))</f>
        <v>-</v>
      </c>
      <c r="F1406" s="170"/>
      <c r="G1406" s="162" t="s">
        <v>2396</v>
      </c>
      <c r="H1406" s="172" t="s">
        <v>2446</v>
      </c>
      <c r="I1406" s="173" t="s">
        <v>304</v>
      </c>
      <c r="J1406" s="174" t="s">
        <v>2621</v>
      </c>
      <c r="K1406" s="170">
        <v>9199</v>
      </c>
      <c r="L1406" s="166">
        <v>180</v>
      </c>
      <c r="M1406" s="166">
        <v>180</v>
      </c>
      <c r="N1406" s="175">
        <v>45506</v>
      </c>
      <c r="O1406" s="168"/>
      <c r="P1406" s="168"/>
      <c r="Q1406" s="170" t="e">
        <f>MONTH([1]!Tableau13[[#This Row],[Date début]])</f>
        <v>#REF!</v>
      </c>
      <c r="R1406" s="171" t="e">
        <f>YEAR([1]!Tableau13[[#This Row],[Date début]])</f>
        <v>#REF!</v>
      </c>
    </row>
    <row r="1407" spans="1:18" ht="30">
      <c r="A1407" s="169">
        <v>45507</v>
      </c>
      <c r="B1407" s="170">
        <v>439</v>
      </c>
      <c r="C1407" s="160" t="str">
        <f>IF(ISNA(VLOOKUP(Tableau13[[#This Row],[Code]],'Code Véhicule'!$A$4:$C$185,2,0)),"",VLOOKUP(Tableau13[[#This Row],[Code]],'Code Véhicule'!$A$4:$C$185,2,0))</f>
        <v>Semi remorque</v>
      </c>
      <c r="D1407" s="161" t="str">
        <f>IF(ISNA(VLOOKUP(Tableau13[[#This Row],[Code]],'Code Véhicule'!$A$4:$C$185,3,0)),"",VLOOKUP(Tableau13[[#This Row],[Code]],'Code Véhicule'!$A$4:$C$185,3,0))</f>
        <v>VOLVO</v>
      </c>
      <c r="E1407" s="159" t="str">
        <f>IF(ISNA(VLOOKUP(Tableau13[[#This Row],[Code]],'Code Véhicule'!$A$4:$D$185,4,0))," ",VLOOKUP(Tableau13[[#This Row],[Code]],'Code Véhicule'!$A$4:$D$185,4,0))</f>
        <v xml:space="preserve">17886-A-73 </v>
      </c>
      <c r="F1407" s="170"/>
      <c r="G1407" s="162" t="s">
        <v>2396</v>
      </c>
      <c r="H1407" s="172" t="s">
        <v>610</v>
      </c>
      <c r="I1407" s="173" t="s">
        <v>780</v>
      </c>
      <c r="J1407" s="174" t="s">
        <v>2619</v>
      </c>
      <c r="K1407" s="170">
        <v>9192</v>
      </c>
      <c r="L1407" s="166">
        <v>540</v>
      </c>
      <c r="M1407" s="166">
        <v>540</v>
      </c>
      <c r="N1407" s="175">
        <v>45507</v>
      </c>
      <c r="O1407" s="168"/>
      <c r="P1407" s="168"/>
      <c r="Q1407" s="170" t="e">
        <f>MONTH([1]!Tableau13[[#This Row],[Date début]])</f>
        <v>#REF!</v>
      </c>
      <c r="R1407" s="171" t="e">
        <f>YEAR([1]!Tableau13[[#This Row],[Date début]])</f>
        <v>#REF!</v>
      </c>
    </row>
    <row r="1408" spans="1:18" ht="30">
      <c r="A1408" s="169">
        <v>45507</v>
      </c>
      <c r="B1408" s="170">
        <v>403</v>
      </c>
      <c r="C1408" s="160" t="str">
        <f>IF(ISNA(VLOOKUP(Tableau13[[#This Row],[Code]],'Code Véhicule'!$A$4:$C$185,2,0)),"",VLOOKUP(Tableau13[[#This Row],[Code]],'Code Véhicule'!$A$4:$C$185,2,0))</f>
        <v>Camion</v>
      </c>
      <c r="D1408" s="161" t="str">
        <f>IF(ISNA(VLOOKUP(Tableau13[[#This Row],[Code]],'Code Véhicule'!$A$4:$C$185,3,0)),"",VLOOKUP(Tableau13[[#This Row],[Code]],'Code Véhicule'!$A$4:$C$185,3,0))</f>
        <v>MAN</v>
      </c>
      <c r="E1408" s="159" t="str">
        <f>IF(ISNA(VLOOKUP(Tableau13[[#This Row],[Code]],'Code Véhicule'!$A$4:$D$185,4,0))," ",VLOOKUP(Tableau13[[#This Row],[Code]],'Code Véhicule'!$A$4:$D$185,4,0))</f>
        <v>4790-B-8</v>
      </c>
      <c r="F1408" s="170"/>
      <c r="G1408" s="162" t="s">
        <v>2396</v>
      </c>
      <c r="H1408" s="172" t="s">
        <v>2446</v>
      </c>
      <c r="I1408" s="173" t="s">
        <v>780</v>
      </c>
      <c r="J1408" s="174" t="s">
        <v>2624</v>
      </c>
      <c r="K1408" s="170">
        <v>9240</v>
      </c>
      <c r="L1408" s="166">
        <v>1620</v>
      </c>
      <c r="M1408" s="166">
        <v>1620</v>
      </c>
      <c r="N1408" s="175">
        <v>45510</v>
      </c>
      <c r="O1408" s="168"/>
      <c r="P1408" s="168"/>
      <c r="Q1408" s="170" t="e">
        <f>MONTH([1]!Tableau13[[#This Row],[Date début]])</f>
        <v>#REF!</v>
      </c>
      <c r="R1408" s="171" t="e">
        <f>YEAR([1]!Tableau13[[#This Row],[Date début]])</f>
        <v>#REF!</v>
      </c>
    </row>
    <row r="1409" spans="1:18">
      <c r="A1409" s="169">
        <v>45512</v>
      </c>
      <c r="B1409" s="170">
        <v>480</v>
      </c>
      <c r="C1409" s="209" t="str">
        <f>IF(ISNA(VLOOKUP(Tableau13[[#This Row],[Code]],'Code Véhicule'!$A$4:$C$185,2,0)),"",VLOOKUP(Tableau13[[#This Row],[Code]],'Code Véhicule'!$A$4:$C$185,2,0))</f>
        <v>Camion</v>
      </c>
      <c r="D1409" s="171" t="str">
        <f>IF(ISNA(VLOOKUP(Tableau13[[#This Row],[Code]],'Code Véhicule'!$A$4:$C$185,3,0)),"",VLOOKUP(Tableau13[[#This Row],[Code]],'Code Véhicule'!$A$4:$C$185,3,0))</f>
        <v>VOLVO</v>
      </c>
      <c r="E1409" s="170" t="str">
        <f>IF(ISNA(VLOOKUP(Tableau13[[#This Row],[Code]],'Code Véhicule'!$A$4:$D$185,4,0))," ",VLOOKUP(Tableau13[[#This Row],[Code]],'Code Véhicule'!$A$4:$D$185,4,0))</f>
        <v>22299-A-73</v>
      </c>
      <c r="F1409" s="170"/>
      <c r="G1409" s="210" t="s">
        <v>2396</v>
      </c>
      <c r="H1409" s="172" t="s">
        <v>2625</v>
      </c>
      <c r="I1409" s="173" t="s">
        <v>304</v>
      </c>
      <c r="J1409" s="174" t="s">
        <v>2626</v>
      </c>
      <c r="K1409" s="170">
        <v>9337</v>
      </c>
      <c r="L1409" s="166">
        <v>120</v>
      </c>
      <c r="M1409" s="166">
        <v>120</v>
      </c>
      <c r="N1409" s="175">
        <v>45512</v>
      </c>
      <c r="O1409" s="168"/>
      <c r="P1409" s="168"/>
      <c r="Q1409" s="170" t="e">
        <f>MONTH([1]!Tableau13[[#This Row],[Date début]])</f>
        <v>#REF!</v>
      </c>
      <c r="R1409" s="171" t="e">
        <f>YEAR([1]!Tableau13[[#This Row],[Date début]])</f>
        <v>#REF!</v>
      </c>
    </row>
    <row r="1410" spans="1:18" ht="30">
      <c r="A1410" s="169">
        <v>45517</v>
      </c>
      <c r="B1410" s="170">
        <v>481</v>
      </c>
      <c r="C1410" s="209" t="str">
        <f>IF(ISNA(VLOOKUP(Tableau13[[#This Row],[Code]],'Code Véhicule'!$A$4:$C$185,2,0)),"",VLOOKUP(Tableau13[[#This Row],[Code]],'Code Véhicule'!$A$4:$C$185,2,0))</f>
        <v>Camion</v>
      </c>
      <c r="D1410" s="171" t="str">
        <f>IF(ISNA(VLOOKUP(Tableau13[[#This Row],[Code]],'Code Véhicule'!$A$4:$C$185,3,0)),"",VLOOKUP(Tableau13[[#This Row],[Code]],'Code Véhicule'!$A$4:$C$185,3,0))</f>
        <v>VOLVO</v>
      </c>
      <c r="E1410" s="170" t="str">
        <f>IF(ISNA(VLOOKUP(Tableau13[[#This Row],[Code]],'Code Véhicule'!$A$4:$D$185,4,0))," ",VLOOKUP(Tableau13[[#This Row],[Code]],'Code Véhicule'!$A$4:$D$185,4,0))</f>
        <v>22300-A-73</v>
      </c>
      <c r="F1410" s="170"/>
      <c r="G1410" s="210" t="s">
        <v>2396</v>
      </c>
      <c r="H1410" s="172" t="s">
        <v>560</v>
      </c>
      <c r="I1410" s="173" t="s">
        <v>304</v>
      </c>
      <c r="J1410" s="174" t="s">
        <v>2627</v>
      </c>
      <c r="K1410" s="170">
        <v>9458</v>
      </c>
      <c r="L1410" s="166">
        <v>120</v>
      </c>
      <c r="M1410" s="166">
        <v>120</v>
      </c>
      <c r="N1410" s="175">
        <v>45517</v>
      </c>
      <c r="O1410" s="168"/>
      <c r="P1410" s="168"/>
      <c r="Q1410" s="170" t="e">
        <f>MONTH([1]!Tableau13[[#This Row],[Date début]])</f>
        <v>#REF!</v>
      </c>
      <c r="R1410" s="171" t="e">
        <f>YEAR([1]!Tableau13[[#This Row],[Date début]])</f>
        <v>#REF!</v>
      </c>
    </row>
    <row r="1411" spans="1:18">
      <c r="A1411" s="169">
        <v>45517</v>
      </c>
      <c r="B1411" s="170">
        <v>401</v>
      </c>
      <c r="C1411" s="209" t="str">
        <f>IF(ISNA(VLOOKUP(Tableau13[[#This Row],[Code]],'Code Véhicule'!$A$4:$C$185,2,0)),"",VLOOKUP(Tableau13[[#This Row],[Code]],'Code Véhicule'!$A$4:$C$185,2,0))</f>
        <v>Camion</v>
      </c>
      <c r="D1411" s="171" t="str">
        <f>IF(ISNA(VLOOKUP(Tableau13[[#This Row],[Code]],'Code Véhicule'!$A$4:$C$185,3,0)),"",VLOOKUP(Tableau13[[#This Row],[Code]],'Code Véhicule'!$A$4:$C$185,3,0))</f>
        <v>ISUZU</v>
      </c>
      <c r="E1411" s="170" t="str">
        <f>IF(ISNA(VLOOKUP(Tableau13[[#This Row],[Code]],'Code Véhicule'!$A$4:$D$185,4,0))," ",VLOOKUP(Tableau13[[#This Row],[Code]],'Code Véhicule'!$A$4:$D$185,4,0))</f>
        <v>26128-A-8</v>
      </c>
      <c r="F1411" s="170"/>
      <c r="G1411" s="210" t="s">
        <v>2396</v>
      </c>
      <c r="H1411" s="172" t="s">
        <v>2628</v>
      </c>
      <c r="I1411" s="173" t="s">
        <v>322</v>
      </c>
      <c r="J1411" s="174" t="s">
        <v>2629</v>
      </c>
      <c r="K1411" s="170">
        <v>9457</v>
      </c>
      <c r="L1411" s="166">
        <v>540</v>
      </c>
      <c r="M1411" s="166">
        <v>540</v>
      </c>
      <c r="N1411" s="175">
        <v>45517</v>
      </c>
      <c r="O1411" s="168"/>
      <c r="P1411" s="168"/>
      <c r="Q1411" s="170" t="e">
        <f>MONTH([1]!Tableau13[[#This Row],[Date début]])</f>
        <v>#REF!</v>
      </c>
      <c r="R1411" s="171" t="e">
        <f>YEAR([1]!Tableau13[[#This Row],[Date début]])</f>
        <v>#REF!</v>
      </c>
    </row>
    <row r="1412" spans="1:18">
      <c r="A1412" s="169">
        <v>45519</v>
      </c>
      <c r="B1412" s="170">
        <v>409</v>
      </c>
      <c r="C1412" s="209" t="str">
        <f>IF(ISNA(VLOOKUP(Tableau13[[#This Row],[Code]],'Code Véhicule'!$A$4:$C$185,2,0)),"",VLOOKUP(Tableau13[[#This Row],[Code]],'Code Véhicule'!$A$4:$C$185,2,0))</f>
        <v>Camion</v>
      </c>
      <c r="D1412" s="171" t="str">
        <f>IF(ISNA(VLOOKUP(Tableau13[[#This Row],[Code]],'Code Véhicule'!$A$4:$C$185,3,0)),"",VLOOKUP(Tableau13[[#This Row],[Code]],'Code Véhicule'!$A$4:$C$185,3,0))</f>
        <v>Mitsubishi</v>
      </c>
      <c r="E1412" s="170" t="str">
        <f>IF(ISNA(VLOOKUP(Tableau13[[#This Row],[Code]],'Code Véhicule'!$A$4:$D$185,4,0))," ",VLOOKUP(Tableau13[[#This Row],[Code]],'Code Véhicule'!$A$4:$D$185,4,0))</f>
        <v xml:space="preserve">4969-A-73 </v>
      </c>
      <c r="F1412" s="170"/>
      <c r="G1412" s="210" t="s">
        <v>525</v>
      </c>
      <c r="H1412" s="172" t="s">
        <v>560</v>
      </c>
      <c r="I1412" s="173" t="s">
        <v>304</v>
      </c>
      <c r="J1412" s="174" t="s">
        <v>2631</v>
      </c>
      <c r="K1412" s="170">
        <v>9494</v>
      </c>
      <c r="L1412" s="166">
        <v>120</v>
      </c>
      <c r="M1412" s="166">
        <v>120</v>
      </c>
      <c r="N1412" s="175">
        <v>45519</v>
      </c>
      <c r="O1412" s="168"/>
      <c r="P1412" s="168"/>
      <c r="Q1412" s="170" t="e">
        <f>MONTH([1]!Tableau13[[#This Row],[Date début]])</f>
        <v>#REF!</v>
      </c>
      <c r="R1412" s="171" t="e">
        <f>YEAR([1]!Tableau13[[#This Row],[Date début]])</f>
        <v>#REF!</v>
      </c>
    </row>
    <row r="1413" spans="1:18">
      <c r="A1413" s="169">
        <v>45521</v>
      </c>
      <c r="B1413" s="170">
        <v>438</v>
      </c>
      <c r="C1413" s="209" t="str">
        <f>IF(ISNA(VLOOKUP(Tableau13[[#This Row],[Code]],'Code Véhicule'!$A$4:$C$185,2,0)),"",VLOOKUP(Tableau13[[#This Row],[Code]],'Code Véhicule'!$A$4:$C$185,2,0))</f>
        <v>Semi remorque</v>
      </c>
      <c r="D1413" s="171" t="str">
        <f>IF(ISNA(VLOOKUP(Tableau13[[#This Row],[Code]],'Code Véhicule'!$A$4:$C$185,3,0)),"",VLOOKUP(Tableau13[[#This Row],[Code]],'Code Véhicule'!$A$4:$C$185,3,0))</f>
        <v>VOLVO</v>
      </c>
      <c r="E1413" s="170" t="str">
        <f>IF(ISNA(VLOOKUP(Tableau13[[#This Row],[Code]],'Code Véhicule'!$A$4:$D$185,4,0))," ",VLOOKUP(Tableau13[[#This Row],[Code]],'Code Véhicule'!$A$4:$D$185,4,0))</f>
        <v xml:space="preserve">17885-A-73 </v>
      </c>
      <c r="F1413" s="170"/>
      <c r="G1413" s="210" t="s">
        <v>2396</v>
      </c>
      <c r="H1413" s="172" t="s">
        <v>610</v>
      </c>
      <c r="I1413" s="173" t="s">
        <v>304</v>
      </c>
      <c r="J1413" s="174" t="s">
        <v>2632</v>
      </c>
      <c r="K1413" s="170">
        <v>9548</v>
      </c>
      <c r="L1413" s="166">
        <v>540</v>
      </c>
      <c r="M1413" s="166">
        <v>540</v>
      </c>
      <c r="N1413" s="175">
        <v>45521</v>
      </c>
      <c r="O1413" s="168"/>
      <c r="P1413" s="168"/>
      <c r="Q1413" s="170" t="e">
        <f>MONTH([1]!Tableau13[[#This Row],[Date début]])</f>
        <v>#REF!</v>
      </c>
      <c r="R1413" s="171" t="e">
        <f>YEAR([1]!Tableau13[[#This Row],[Date début]])</f>
        <v>#REF!</v>
      </c>
    </row>
    <row r="1414" spans="1:18" ht="60">
      <c r="A1414" s="169">
        <v>45521</v>
      </c>
      <c r="B1414" s="170">
        <v>401</v>
      </c>
      <c r="C1414" s="209" t="str">
        <f>IF(ISNA(VLOOKUP(Tableau13[[#This Row],[Code]],'Code Véhicule'!$A$4:$C$185,2,0)),"",VLOOKUP(Tableau13[[#This Row],[Code]],'Code Véhicule'!$A$4:$C$185,2,0))</f>
        <v>Camion</v>
      </c>
      <c r="D1414" s="171" t="str">
        <f>IF(ISNA(VLOOKUP(Tableau13[[#This Row],[Code]],'Code Véhicule'!$A$4:$C$185,3,0)),"",VLOOKUP(Tableau13[[#This Row],[Code]],'Code Véhicule'!$A$4:$C$185,3,0))</f>
        <v>ISUZU</v>
      </c>
      <c r="E1414" s="170" t="str">
        <f>IF(ISNA(VLOOKUP(Tableau13[[#This Row],[Code]],'Code Véhicule'!$A$4:$D$185,4,0))," ",VLOOKUP(Tableau13[[#This Row],[Code]],'Code Véhicule'!$A$4:$D$185,4,0))</f>
        <v>26128-A-8</v>
      </c>
      <c r="F1414" s="170"/>
      <c r="G1414" s="210" t="s">
        <v>2396</v>
      </c>
      <c r="H1414" s="172" t="s">
        <v>610</v>
      </c>
      <c r="I1414" s="173" t="s">
        <v>780</v>
      </c>
      <c r="J1414" s="174" t="s">
        <v>2633</v>
      </c>
      <c r="K1414" s="170">
        <v>9553</v>
      </c>
      <c r="L1414" s="166">
        <v>2700</v>
      </c>
      <c r="M1414" s="166">
        <v>7020</v>
      </c>
      <c r="N1414" s="175">
        <v>45534</v>
      </c>
      <c r="O1414" s="168"/>
      <c r="P1414" s="168"/>
      <c r="Q1414" s="170" t="e">
        <f>MONTH([1]!Tableau13[[#This Row],[Date début]])</f>
        <v>#REF!</v>
      </c>
      <c r="R1414" s="171" t="e">
        <f>YEAR([1]!Tableau13[[#This Row],[Date début]])</f>
        <v>#REF!</v>
      </c>
    </row>
    <row r="1415" spans="1:18" ht="45">
      <c r="A1415" s="169">
        <v>45522</v>
      </c>
      <c r="B1415" s="170">
        <v>410</v>
      </c>
      <c r="C1415" s="209" t="str">
        <f>IF(ISNA(VLOOKUP(Tableau13[[#This Row],[Code]],'Code Véhicule'!$A$4:$C$185,2,0)),"",VLOOKUP(Tableau13[[#This Row],[Code]],'Code Véhicule'!$A$4:$C$185,2,0))</f>
        <v>Semi remorque</v>
      </c>
      <c r="D1415" s="171" t="str">
        <f>IF(ISNA(VLOOKUP(Tableau13[[#This Row],[Code]],'Code Véhicule'!$A$4:$C$185,3,0)),"",VLOOKUP(Tableau13[[#This Row],[Code]],'Code Véhicule'!$A$4:$C$185,3,0))</f>
        <v>MAN</v>
      </c>
      <c r="E1415" s="170" t="str">
        <f>IF(ISNA(VLOOKUP(Tableau13[[#This Row],[Code]],'Code Véhicule'!$A$4:$D$185,4,0))," ",VLOOKUP(Tableau13[[#This Row],[Code]],'Code Véhicule'!$A$4:$D$185,4,0))</f>
        <v xml:space="preserve">28659-D-1 </v>
      </c>
      <c r="F1415" s="170"/>
      <c r="G1415" s="210" t="s">
        <v>2396</v>
      </c>
      <c r="H1415" s="172" t="s">
        <v>610</v>
      </c>
      <c r="I1415" s="173" t="s">
        <v>780</v>
      </c>
      <c r="J1415" s="174" t="s">
        <v>2634</v>
      </c>
      <c r="K1415" s="170">
        <v>9599</v>
      </c>
      <c r="L1415" s="166">
        <v>3240</v>
      </c>
      <c r="M1415" s="166">
        <v>4320</v>
      </c>
      <c r="N1415" s="175">
        <v>45530</v>
      </c>
      <c r="O1415" s="168"/>
      <c r="P1415" s="168"/>
      <c r="Q1415" s="170" t="e">
        <f>MONTH([1]!Tableau13[[#This Row],[Date début]])</f>
        <v>#REF!</v>
      </c>
      <c r="R1415" s="171" t="e">
        <f>YEAR([1]!Tableau13[[#This Row],[Date début]])</f>
        <v>#REF!</v>
      </c>
    </row>
    <row r="1416" spans="1:18" ht="30">
      <c r="A1416" s="169">
        <v>45532</v>
      </c>
      <c r="B1416" s="170">
        <v>439</v>
      </c>
      <c r="C1416" s="209" t="str">
        <f>IF(ISNA(VLOOKUP(Tableau13[[#This Row],[Code]],'Code Véhicule'!$A$4:$C$185,2,0)),"",VLOOKUP(Tableau13[[#This Row],[Code]],'Code Véhicule'!$A$4:$C$185,2,0))</f>
        <v>Semi remorque</v>
      </c>
      <c r="D1416" s="171" t="str">
        <f>IF(ISNA(VLOOKUP(Tableau13[[#This Row],[Code]],'Code Véhicule'!$A$4:$C$185,3,0)),"",VLOOKUP(Tableau13[[#This Row],[Code]],'Code Véhicule'!$A$4:$C$185,3,0))</f>
        <v>VOLVO</v>
      </c>
      <c r="E1416" s="170" t="str">
        <f>IF(ISNA(VLOOKUP(Tableau13[[#This Row],[Code]],'Code Véhicule'!$A$4:$D$185,4,0))," ",VLOOKUP(Tableau13[[#This Row],[Code]],'Code Véhicule'!$A$4:$D$185,4,0))</f>
        <v xml:space="preserve">17886-A-73 </v>
      </c>
      <c r="F1416" s="170"/>
      <c r="G1416" s="210" t="s">
        <v>2635</v>
      </c>
      <c r="H1416" s="172" t="s">
        <v>2636</v>
      </c>
      <c r="I1416" s="173" t="s">
        <v>304</v>
      </c>
      <c r="J1416" s="174" t="s">
        <v>2637</v>
      </c>
      <c r="K1416" s="170">
        <v>9786</v>
      </c>
      <c r="L1416" s="166">
        <v>3240</v>
      </c>
      <c r="M1416" s="166">
        <v>4320</v>
      </c>
      <c r="N1416" s="175">
        <v>45532</v>
      </c>
      <c r="O1416" s="168"/>
      <c r="P1416" s="168"/>
      <c r="Q1416" s="170" t="e">
        <f>MONTH([1]!Tableau13[[#This Row],[Date début]])</f>
        <v>#REF!</v>
      </c>
      <c r="R1416" s="171" t="e">
        <f>YEAR([1]!Tableau13[[#This Row],[Date début]])</f>
        <v>#REF!</v>
      </c>
    </row>
    <row r="1417" spans="1:18" ht="30">
      <c r="A1417" s="237">
        <v>45532</v>
      </c>
      <c r="B1417" s="238">
        <v>409</v>
      </c>
      <c r="C1417" s="239" t="str">
        <f>IF(ISNA(VLOOKUP(Tableau13[[#This Row],[Code]],'Code Véhicule'!$A$4:$C$185,2,0)),"",VLOOKUP(Tableau13[[#This Row],[Code]],'Code Véhicule'!$A$4:$C$185,2,0))</f>
        <v>Camion</v>
      </c>
      <c r="D1417" s="240" t="str">
        <f>IF(ISNA(VLOOKUP(Tableau13[[#This Row],[Code]],'Code Véhicule'!$A$4:$C$185,3,0)),"",VLOOKUP(Tableau13[[#This Row],[Code]],'Code Véhicule'!$A$4:$C$185,3,0))</f>
        <v>Mitsubishi</v>
      </c>
      <c r="E1417" s="238" t="str">
        <f>IF(ISNA(VLOOKUP(Tableau13[[#This Row],[Code]],'Code Véhicule'!$A$4:$D$185,4,0))," ",VLOOKUP(Tableau13[[#This Row],[Code]],'Code Véhicule'!$A$4:$D$185,4,0))</f>
        <v xml:space="preserve">4969-A-73 </v>
      </c>
      <c r="F1417" s="238"/>
      <c r="G1417" s="241" t="s">
        <v>2396</v>
      </c>
      <c r="H1417" s="242" t="s">
        <v>394</v>
      </c>
      <c r="I1417" s="243" t="s">
        <v>304</v>
      </c>
      <c r="J1417" s="244" t="s">
        <v>2638</v>
      </c>
      <c r="K1417" s="238">
        <v>9786</v>
      </c>
      <c r="L1417" s="40">
        <v>3240</v>
      </c>
      <c r="M1417" s="40">
        <v>6480</v>
      </c>
      <c r="N1417" s="245">
        <v>45545</v>
      </c>
      <c r="O1417" s="45"/>
      <c r="P1417" s="45"/>
      <c r="Q1417" s="238" t="e">
        <f>MONTH([1]!Tableau13[[#This Row],[Date début]])</f>
        <v>#REF!</v>
      </c>
      <c r="R1417" s="240" t="e">
        <f>YEAR([1]!Tableau13[[#This Row],[Date début]])</f>
        <v>#REF!</v>
      </c>
    </row>
    <row r="1418" spans="1:18" ht="30">
      <c r="A1418" s="237">
        <v>45533</v>
      </c>
      <c r="B1418" s="238">
        <v>432</v>
      </c>
      <c r="C1418" s="239" t="str">
        <f>IF(ISNA(VLOOKUP(Tableau13[[#This Row],[Code]],'Code Véhicule'!$A$4:$C$185,2,0)),"",VLOOKUP(Tableau13[[#This Row],[Code]],'Code Véhicule'!$A$4:$C$185,2,0))</f>
        <v>Voiture de fonction</v>
      </c>
      <c r="D1418" s="240" t="str">
        <f>IF(ISNA(VLOOKUP(Tableau13[[#This Row],[Code]],'Code Véhicule'!$A$4:$C$185,3,0)),"",VLOOKUP(Tableau13[[#This Row],[Code]],'Code Véhicule'!$A$4:$C$185,3,0))</f>
        <v>Berlingo</v>
      </c>
      <c r="E1418" s="238" t="str">
        <f>IF(ISNA(VLOOKUP(Tableau13[[#This Row],[Code]],'Code Véhicule'!$A$4:$D$185,4,0))," ",VLOOKUP(Tableau13[[#This Row],[Code]],'Code Véhicule'!$A$4:$D$185,4,0))</f>
        <v xml:space="preserve"> 9660 -A-73</v>
      </c>
      <c r="F1418" s="238"/>
      <c r="G1418" s="241" t="s">
        <v>2396</v>
      </c>
      <c r="H1418" s="242" t="s">
        <v>2404</v>
      </c>
      <c r="I1418" s="243" t="s">
        <v>302</v>
      </c>
      <c r="J1418" s="244" t="s">
        <v>2639</v>
      </c>
      <c r="K1418" s="238" t="s">
        <v>2640</v>
      </c>
      <c r="L1418" s="40">
        <v>120</v>
      </c>
      <c r="M1418" s="40">
        <v>120</v>
      </c>
      <c r="N1418" s="245">
        <v>45533</v>
      </c>
      <c r="O1418" s="45"/>
      <c r="P1418" s="45"/>
      <c r="Q1418" s="238" t="e">
        <f>MONTH([1]!Tableau13[[#This Row],[Date début]])</f>
        <v>#REF!</v>
      </c>
      <c r="R1418" s="240" t="e">
        <f>YEAR([1]!Tableau13[[#This Row],[Date début]])</f>
        <v>#REF!</v>
      </c>
    </row>
    <row r="1419" spans="1:18" ht="30">
      <c r="A1419" s="237">
        <v>45534</v>
      </c>
      <c r="B1419" s="238">
        <v>419</v>
      </c>
      <c r="C1419" s="239" t="str">
        <f>IF(ISNA(VLOOKUP(Tableau13[[#This Row],[Code]],'Code Véhicule'!$A$4:$C$185,2,0)),"",VLOOKUP(Tableau13[[#This Row],[Code]],'Code Véhicule'!$A$4:$C$185,2,0))</f>
        <v>Voiture de fonction</v>
      </c>
      <c r="D1419" s="240" t="str">
        <f>IF(ISNA(VLOOKUP(Tableau13[[#This Row],[Code]],'Code Véhicule'!$A$4:$C$185,3,0)),"",VLOOKUP(Tableau13[[#This Row],[Code]],'Code Véhicule'!$A$4:$C$185,3,0))</f>
        <v>kangoo</v>
      </c>
      <c r="E1419" s="238" t="str">
        <f>IF(ISNA(VLOOKUP(Tableau13[[#This Row],[Code]],'Code Véhicule'!$A$4:$D$185,4,0))," ",VLOOKUP(Tableau13[[#This Row],[Code]],'Code Véhicule'!$A$4:$D$185,4,0))</f>
        <v>4812-A-73</v>
      </c>
      <c r="F1419" s="238"/>
      <c r="G1419" s="241" t="s">
        <v>2396</v>
      </c>
      <c r="H1419" s="242" t="s">
        <v>610</v>
      </c>
      <c r="I1419" s="243" t="s">
        <v>780</v>
      </c>
      <c r="J1419" s="244" t="s">
        <v>2641</v>
      </c>
      <c r="K1419" s="238">
        <v>9848</v>
      </c>
      <c r="L1419" s="40">
        <v>540</v>
      </c>
      <c r="M1419" s="40">
        <v>540</v>
      </c>
      <c r="N1419" s="245">
        <v>45534</v>
      </c>
      <c r="O1419" s="45"/>
      <c r="P1419" s="45"/>
      <c r="Q1419" s="238" t="e">
        <f>MONTH([1]!Tableau13[[#This Row],[Date début]])</f>
        <v>#REF!</v>
      </c>
      <c r="R1419" s="240" t="e">
        <f>YEAR([1]!Tableau13[[#This Row],[Date début]])</f>
        <v>#REF!</v>
      </c>
    </row>
    <row r="1420" spans="1:18">
      <c r="A1420" s="237">
        <v>45534</v>
      </c>
      <c r="B1420" s="238">
        <v>409</v>
      </c>
      <c r="C1420" s="239" t="str">
        <f>IF(ISNA(VLOOKUP(Tableau13[[#This Row],[Code]],'Code Véhicule'!$A$4:$C$185,2,0)),"",VLOOKUP(Tableau13[[#This Row],[Code]],'Code Véhicule'!$A$4:$C$185,2,0))</f>
        <v>Camion</v>
      </c>
      <c r="D1420" s="240" t="str">
        <f>IF(ISNA(VLOOKUP(Tableau13[[#This Row],[Code]],'Code Véhicule'!$A$4:$C$185,3,0)),"",VLOOKUP(Tableau13[[#This Row],[Code]],'Code Véhicule'!$A$4:$C$185,3,0))</f>
        <v>Mitsubishi</v>
      </c>
      <c r="E1420" s="238" t="str">
        <f>IF(ISNA(VLOOKUP(Tableau13[[#This Row],[Code]],'Code Véhicule'!$A$4:$D$185,4,0))," ",VLOOKUP(Tableau13[[#This Row],[Code]],'Code Véhicule'!$A$4:$D$185,4,0))</f>
        <v xml:space="preserve">4969-A-73 </v>
      </c>
      <c r="F1420" s="238"/>
      <c r="G1420" s="241" t="s">
        <v>2396</v>
      </c>
      <c r="H1420" s="242" t="s">
        <v>2642</v>
      </c>
      <c r="I1420" s="243" t="s">
        <v>304</v>
      </c>
      <c r="J1420" s="244" t="s">
        <v>2643</v>
      </c>
      <c r="K1420" s="238">
        <v>9850</v>
      </c>
      <c r="L1420" s="40">
        <v>180</v>
      </c>
      <c r="M1420" s="40">
        <v>240</v>
      </c>
      <c r="N1420" s="245">
        <v>45534</v>
      </c>
      <c r="O1420" s="45"/>
      <c r="P1420" s="45"/>
      <c r="Q1420" s="238" t="e">
        <f>MONTH([1]!Tableau13[[#This Row],[Date début]])</f>
        <v>#REF!</v>
      </c>
      <c r="R1420" s="240" t="e">
        <f>YEAR([1]!Tableau13[[#This Row],[Date début]])</f>
        <v>#REF!</v>
      </c>
    </row>
    <row r="1421" spans="1:18">
      <c r="A1421" s="237">
        <v>45535</v>
      </c>
      <c r="B1421" s="238">
        <v>408</v>
      </c>
      <c r="C1421" s="239" t="str">
        <f>IF(ISNA(VLOOKUP(Tableau13[[#This Row],[Code]],'Code Véhicule'!$A$4:$C$185,2,0)),"",VLOOKUP(Tableau13[[#This Row],[Code]],'Code Véhicule'!$A$4:$C$185,2,0))</f>
        <v>Camion</v>
      </c>
      <c r="D1421" s="240" t="str">
        <f>IF(ISNA(VLOOKUP(Tableau13[[#This Row],[Code]],'Code Véhicule'!$A$4:$C$185,3,0)),"",VLOOKUP(Tableau13[[#This Row],[Code]],'Code Véhicule'!$A$4:$C$185,3,0))</f>
        <v>Mitsubishi</v>
      </c>
      <c r="E1421" s="238" t="str">
        <f>IF(ISNA(VLOOKUP(Tableau13[[#This Row],[Code]],'Code Véhicule'!$A$4:$D$185,4,0))," ",VLOOKUP(Tableau13[[#This Row],[Code]],'Code Véhicule'!$A$4:$D$185,4,0))</f>
        <v>4703-A-73</v>
      </c>
      <c r="F1421" s="238"/>
      <c r="G1421" s="241" t="s">
        <v>2396</v>
      </c>
      <c r="H1421" s="242" t="s">
        <v>2422</v>
      </c>
      <c r="I1421" s="243" t="s">
        <v>304</v>
      </c>
      <c r="J1421" s="244" t="s">
        <v>2609</v>
      </c>
      <c r="K1421" s="238">
        <v>9876</v>
      </c>
      <c r="L1421" s="40">
        <v>120</v>
      </c>
      <c r="M1421" s="40">
        <v>120</v>
      </c>
      <c r="N1421" s="245">
        <v>45535</v>
      </c>
      <c r="O1421" s="45"/>
      <c r="P1421" s="45"/>
      <c r="Q1421" s="238" t="e">
        <f>MONTH([1]!Tableau13[[#This Row],[Date début]])</f>
        <v>#REF!</v>
      </c>
      <c r="R1421" s="240" t="e">
        <f>YEAR([1]!Tableau13[[#This Row],[Date début]])</f>
        <v>#REF!</v>
      </c>
    </row>
    <row r="1422" spans="1:18" ht="30">
      <c r="A1422" s="237">
        <v>45535</v>
      </c>
      <c r="B1422" s="238">
        <v>429</v>
      </c>
      <c r="C1422" s="239" t="str">
        <f>IF(ISNA(VLOOKUP(Tableau13[[#This Row],[Code]],'Code Véhicule'!$A$4:$C$185,2,0)),"",VLOOKUP(Tableau13[[#This Row],[Code]],'Code Véhicule'!$A$4:$C$185,2,0))</f>
        <v>Chariot elevateur</v>
      </c>
      <c r="D1422" s="240" t="str">
        <f>IF(ISNA(VLOOKUP(Tableau13[[#This Row],[Code]],'Code Véhicule'!$A$4:$C$185,3,0)),"",VLOOKUP(Tableau13[[#This Row],[Code]],'Code Véhicule'!$A$4:$C$185,3,0))</f>
        <v>Fenwick HD30</v>
      </c>
      <c r="E1422" s="238" t="str">
        <f>IF(ISNA(VLOOKUP(Tableau13[[#This Row],[Code]],'Code Véhicule'!$A$4:$D$185,4,0))," ",VLOOKUP(Tableau13[[#This Row],[Code]],'Code Véhicule'!$A$4:$D$185,4,0))</f>
        <v>-</v>
      </c>
      <c r="F1422" s="238"/>
      <c r="G1422" s="241" t="s">
        <v>2396</v>
      </c>
      <c r="H1422" s="242" t="s">
        <v>2409</v>
      </c>
      <c r="I1422" s="243" t="s">
        <v>304</v>
      </c>
      <c r="J1422" s="244" t="s">
        <v>2644</v>
      </c>
      <c r="K1422" s="238">
        <v>9879</v>
      </c>
      <c r="L1422" s="40">
        <v>540</v>
      </c>
      <c r="M1422" s="40">
        <v>540</v>
      </c>
      <c r="N1422" s="245">
        <v>45535</v>
      </c>
      <c r="O1422" s="45"/>
      <c r="P1422" s="45"/>
      <c r="Q1422" s="238" t="e">
        <f>MONTH([1]!Tableau13[[#This Row],[Date début]])</f>
        <v>#REF!</v>
      </c>
      <c r="R1422" s="240" t="e">
        <f>YEAR([1]!Tableau13[[#This Row],[Date début]])</f>
        <v>#REF!</v>
      </c>
    </row>
    <row r="1423" spans="1:18" ht="30">
      <c r="A1423" s="237">
        <v>45535</v>
      </c>
      <c r="B1423" s="238">
        <v>401</v>
      </c>
      <c r="C1423" s="239" t="str">
        <f>IF(ISNA(VLOOKUP(Tableau13[[#This Row],[Code]],'Code Véhicule'!$A$4:$C$185,2,0)),"",VLOOKUP(Tableau13[[#This Row],[Code]],'Code Véhicule'!$A$4:$C$185,2,0))</f>
        <v>Camion</v>
      </c>
      <c r="D1423" s="240" t="str">
        <f>IF(ISNA(VLOOKUP(Tableau13[[#This Row],[Code]],'Code Véhicule'!$A$4:$C$185,3,0)),"",VLOOKUP(Tableau13[[#This Row],[Code]],'Code Véhicule'!$A$4:$C$185,3,0))</f>
        <v>ISUZU</v>
      </c>
      <c r="E1423" s="238" t="str">
        <f>IF(ISNA(VLOOKUP(Tableau13[[#This Row],[Code]],'Code Véhicule'!$A$4:$D$185,4,0))," ",VLOOKUP(Tableau13[[#This Row],[Code]],'Code Véhicule'!$A$4:$D$185,4,0))</f>
        <v>26128-A-8</v>
      </c>
      <c r="F1423" s="238"/>
      <c r="G1423" s="241" t="s">
        <v>2396</v>
      </c>
      <c r="H1423" s="242" t="s">
        <v>610</v>
      </c>
      <c r="I1423" s="243" t="s">
        <v>780</v>
      </c>
      <c r="J1423" s="244" t="s">
        <v>2645</v>
      </c>
      <c r="K1423" s="238">
        <v>9880</v>
      </c>
      <c r="L1423" s="40">
        <v>3240</v>
      </c>
      <c r="M1423" s="40">
        <v>3780</v>
      </c>
      <c r="N1423" s="245">
        <v>45543</v>
      </c>
      <c r="O1423" s="45"/>
      <c r="P1423" s="45"/>
      <c r="Q1423" s="238" t="e">
        <f>MONTH([1]!Tableau13[[#This Row],[Date début]])</f>
        <v>#REF!</v>
      </c>
      <c r="R1423" s="240" t="e">
        <f>YEAR([1]!Tableau13[[#This Row],[Date début]])</f>
        <v>#REF!</v>
      </c>
    </row>
    <row r="1424" spans="1:18" ht="30">
      <c r="A1424" s="237">
        <v>45535</v>
      </c>
      <c r="B1424" s="238">
        <v>410</v>
      </c>
      <c r="C1424" s="239" t="str">
        <f>IF(ISNA(VLOOKUP(Tableau13[[#This Row],[Code]],'Code Véhicule'!$A$4:$C$185,2,0)),"",VLOOKUP(Tableau13[[#This Row],[Code]],'Code Véhicule'!$A$4:$C$185,2,0))</f>
        <v>Semi remorque</v>
      </c>
      <c r="D1424" s="240" t="str">
        <f>IF(ISNA(VLOOKUP(Tableau13[[#This Row],[Code]],'Code Véhicule'!$A$4:$C$185,3,0)),"",VLOOKUP(Tableau13[[#This Row],[Code]],'Code Véhicule'!$A$4:$C$185,3,0))</f>
        <v>MAN</v>
      </c>
      <c r="E1424" s="238" t="str">
        <f>IF(ISNA(VLOOKUP(Tableau13[[#This Row],[Code]],'Code Véhicule'!$A$4:$D$185,4,0))," ",VLOOKUP(Tableau13[[#This Row],[Code]],'Code Véhicule'!$A$4:$D$185,4,0))</f>
        <v xml:space="preserve">28659-D-1 </v>
      </c>
      <c r="F1424" s="238"/>
      <c r="G1424" s="241" t="s">
        <v>2474</v>
      </c>
      <c r="H1424" s="242" t="s">
        <v>610</v>
      </c>
      <c r="I1424" s="243" t="s">
        <v>304</v>
      </c>
      <c r="J1424" s="244" t="s">
        <v>2647</v>
      </c>
      <c r="K1424" s="238">
        <v>9881</v>
      </c>
      <c r="L1424" s="40">
        <v>540</v>
      </c>
      <c r="M1424" s="40">
        <v>540</v>
      </c>
      <c r="N1424" s="245">
        <v>45535</v>
      </c>
      <c r="O1424" s="45"/>
      <c r="P1424" s="45"/>
      <c r="Q1424" s="238" t="e">
        <f>MONTH([1]!Tableau13[[#This Row],[Date début]])</f>
        <v>#REF!</v>
      </c>
      <c r="R1424" s="240" t="e">
        <f>YEAR([1]!Tableau13[[#This Row],[Date début]])</f>
        <v>#REF!</v>
      </c>
    </row>
    <row r="1425" spans="1:18">
      <c r="A1425" s="237">
        <v>45539</v>
      </c>
      <c r="B1425" s="238">
        <v>433</v>
      </c>
      <c r="C1425" s="239" t="str">
        <f>IF(ISNA(VLOOKUP(Tableau13[[#This Row],[Code]],'Code Véhicule'!$A$4:$C$185,2,0)),"",VLOOKUP(Tableau13[[#This Row],[Code]],'Code Véhicule'!$A$4:$C$185,2,0))</f>
        <v>Voiture de fonction</v>
      </c>
      <c r="D1425" s="240" t="str">
        <f>IF(ISNA(VLOOKUP(Tableau13[[#This Row],[Code]],'Code Véhicule'!$A$4:$C$185,3,0)),"",VLOOKUP(Tableau13[[#This Row],[Code]],'Code Véhicule'!$A$4:$C$185,3,0))</f>
        <v>Berlingo</v>
      </c>
      <c r="E1425" s="238" t="str">
        <f>IF(ISNA(VLOOKUP(Tableau13[[#This Row],[Code]],'Code Véhicule'!$A$4:$D$185,4,0))," ",VLOOKUP(Tableau13[[#This Row],[Code]],'Code Véhicule'!$A$4:$D$185,4,0))</f>
        <v>10551-A-73</v>
      </c>
      <c r="F1425" s="238"/>
      <c r="G1425" s="241" t="s">
        <v>2396</v>
      </c>
      <c r="H1425" s="242" t="s">
        <v>850</v>
      </c>
      <c r="I1425" s="243" t="s">
        <v>304</v>
      </c>
      <c r="J1425" s="244" t="s">
        <v>2646</v>
      </c>
      <c r="K1425" s="246">
        <v>20</v>
      </c>
      <c r="L1425" s="40">
        <v>2160</v>
      </c>
      <c r="M1425" s="40">
        <v>2160</v>
      </c>
      <c r="N1425" s="245">
        <v>45543</v>
      </c>
      <c r="O1425" s="45"/>
      <c r="P1425" s="45"/>
      <c r="Q1425" s="238" t="e">
        <f>MONTH([1]!Tableau13[[#This Row],[Date début]])</f>
        <v>#REF!</v>
      </c>
      <c r="R1425" s="240" t="e">
        <f>YEAR([1]!Tableau13[[#This Row],[Date début]])</f>
        <v>#REF!</v>
      </c>
    </row>
    <row r="1426" spans="1:18">
      <c r="A1426" s="237">
        <v>45544</v>
      </c>
      <c r="B1426" s="238">
        <v>439</v>
      </c>
      <c r="C1426" s="239" t="str">
        <f>IF(ISNA(VLOOKUP(Tableau13[[#This Row],[Code]],'Code Véhicule'!$A$4:$C$185,2,0)),"",VLOOKUP(Tableau13[[#This Row],[Code]],'Code Véhicule'!$A$4:$C$185,2,0))</f>
        <v>Semi remorque</v>
      </c>
      <c r="D1426" s="240" t="str">
        <f>IF(ISNA(VLOOKUP(Tableau13[[#This Row],[Code]],'Code Véhicule'!$A$4:$C$185,3,0)),"",VLOOKUP(Tableau13[[#This Row],[Code]],'Code Véhicule'!$A$4:$C$185,3,0))</f>
        <v>VOLVO</v>
      </c>
      <c r="E1426" s="238" t="str">
        <f>IF(ISNA(VLOOKUP(Tableau13[[#This Row],[Code]],'Code Véhicule'!$A$4:$D$185,4,0))," ",VLOOKUP(Tableau13[[#This Row],[Code]],'Code Véhicule'!$A$4:$D$185,4,0))</f>
        <v xml:space="preserve">17886-A-73 </v>
      </c>
      <c r="F1426" s="238"/>
      <c r="G1426" s="241" t="s">
        <v>2396</v>
      </c>
      <c r="H1426" s="242" t="s">
        <v>2392</v>
      </c>
      <c r="I1426" s="243" t="s">
        <v>302</v>
      </c>
      <c r="J1426" s="244" t="s">
        <v>2648</v>
      </c>
      <c r="K1426" s="246">
        <v>69</v>
      </c>
      <c r="L1426" s="40">
        <v>120</v>
      </c>
      <c r="M1426" s="40">
        <v>120</v>
      </c>
      <c r="N1426" s="245">
        <v>45544</v>
      </c>
      <c r="O1426" s="45"/>
      <c r="P1426" s="45"/>
      <c r="Q1426" s="238" t="e">
        <f>MONTH([1]!Tableau13[[#This Row],[Date début]])</f>
        <v>#REF!</v>
      </c>
      <c r="R1426" s="240" t="e">
        <f>YEAR([1]!Tableau13[[#This Row],[Date début]])</f>
        <v>#REF!</v>
      </c>
    </row>
    <row r="1427" spans="1:18">
      <c r="A1427" s="237">
        <v>45546</v>
      </c>
      <c r="B1427" s="238">
        <v>479</v>
      </c>
      <c r="C1427" s="239" t="str">
        <f>IF(ISNA(VLOOKUP(Tableau13[[#This Row],[Code]],'Code Véhicule'!$A$4:$C$185,2,0)),"",VLOOKUP(Tableau13[[#This Row],[Code]],'Code Véhicule'!$A$4:$C$185,2,0))</f>
        <v>Bus de transport</v>
      </c>
      <c r="D1427" s="240" t="str">
        <f>IF(ISNA(VLOOKUP(Tableau13[[#This Row],[Code]],'Code Véhicule'!$A$4:$C$185,3,0)),"",VLOOKUP(Tableau13[[#This Row],[Code]],'Code Véhicule'!$A$4:$C$185,3,0))</f>
        <v>Hyundai County</v>
      </c>
      <c r="E1427" s="238" t="str">
        <f>IF(ISNA(VLOOKUP(Tableau13[[#This Row],[Code]],'Code Véhicule'!$A$4:$D$185,4,0))," ",VLOOKUP(Tableau13[[#This Row],[Code]],'Code Véhicule'!$A$4:$D$185,4,0))</f>
        <v>22772-A-73</v>
      </c>
      <c r="F1427" s="238"/>
      <c r="G1427" s="241" t="s">
        <v>525</v>
      </c>
      <c r="H1427" s="242" t="s">
        <v>560</v>
      </c>
      <c r="I1427" s="243" t="s">
        <v>304</v>
      </c>
      <c r="J1427" s="244" t="s">
        <v>2506</v>
      </c>
      <c r="K1427" s="247" t="s">
        <v>2650</v>
      </c>
      <c r="L1427" s="40">
        <v>120</v>
      </c>
      <c r="M1427" s="40">
        <v>120</v>
      </c>
      <c r="N1427" s="245">
        <v>45546</v>
      </c>
      <c r="O1427" s="45"/>
      <c r="P1427" s="45"/>
      <c r="Q1427" s="238" t="e">
        <f>MONTH([1]!Tableau13[[#This Row],[Date début]])</f>
        <v>#REF!</v>
      </c>
      <c r="R1427" s="240" t="e">
        <f>YEAR([1]!Tableau13[[#This Row],[Date début]])</f>
        <v>#REF!</v>
      </c>
    </row>
    <row r="1428" spans="1:18" ht="30">
      <c r="A1428" s="237">
        <v>45547</v>
      </c>
      <c r="B1428" s="238">
        <v>428</v>
      </c>
      <c r="C1428" s="239" t="str">
        <f>IF(ISNA(VLOOKUP(Tableau13[[#This Row],[Code]],'Code Véhicule'!$A$4:$C$185,2,0)),"",VLOOKUP(Tableau13[[#This Row],[Code]],'Code Véhicule'!$A$4:$C$185,2,0))</f>
        <v>Chariot elevateur</v>
      </c>
      <c r="D1428" s="240" t="str">
        <f>IF(ISNA(VLOOKUP(Tableau13[[#This Row],[Code]],'Code Véhicule'!$A$4:$C$185,3,0)),"",VLOOKUP(Tableau13[[#This Row],[Code]],'Code Véhicule'!$A$4:$C$185,3,0))</f>
        <v>Linde H30</v>
      </c>
      <c r="E1428" s="238" t="str">
        <f>IF(ISNA(VLOOKUP(Tableau13[[#This Row],[Code]],'Code Véhicule'!$A$4:$D$185,4,0))," ",VLOOKUP(Tableau13[[#This Row],[Code]],'Code Véhicule'!$A$4:$D$185,4,0))</f>
        <v>-</v>
      </c>
      <c r="F1428" s="238"/>
      <c r="G1428" s="241" t="s">
        <v>2396</v>
      </c>
      <c r="H1428" s="242" t="s">
        <v>2392</v>
      </c>
      <c r="I1428" s="243" t="s">
        <v>302</v>
      </c>
      <c r="J1428" s="244" t="s">
        <v>2649</v>
      </c>
      <c r="K1428" s="248" t="s">
        <v>2651</v>
      </c>
      <c r="L1428" s="40">
        <v>120</v>
      </c>
      <c r="M1428" s="40">
        <v>120</v>
      </c>
      <c r="N1428" s="245">
        <v>45547</v>
      </c>
      <c r="O1428" s="45"/>
      <c r="P1428" s="45"/>
      <c r="Q1428" s="238" t="e">
        <f>MONTH([1]!Tableau13[[#This Row],[Date début]])</f>
        <v>#REF!</v>
      </c>
      <c r="R1428" s="240" t="e">
        <f>YEAR([1]!Tableau13[[#This Row],[Date début]])</f>
        <v>#REF!</v>
      </c>
    </row>
    <row r="1429" spans="1:18" ht="45">
      <c r="A1429" s="237">
        <v>45547</v>
      </c>
      <c r="B1429" s="238">
        <v>479</v>
      </c>
      <c r="C1429" s="239" t="str">
        <f>IF(ISNA(VLOOKUP(Tableau13[[#This Row],[Code]],'Code Véhicule'!$A$4:$C$185,2,0)),"",VLOOKUP(Tableau13[[#This Row],[Code]],'Code Véhicule'!$A$4:$C$185,2,0))</f>
        <v>Bus de transport</v>
      </c>
      <c r="D1429" s="240" t="str">
        <f>IF(ISNA(VLOOKUP(Tableau13[[#This Row],[Code]],'Code Véhicule'!$A$4:$C$185,3,0)),"",VLOOKUP(Tableau13[[#This Row],[Code]],'Code Véhicule'!$A$4:$C$185,3,0))</f>
        <v>Hyundai County</v>
      </c>
      <c r="E1429" s="238" t="str">
        <f>IF(ISNA(VLOOKUP(Tableau13[[#This Row],[Code]],'Code Véhicule'!$A$4:$D$185,4,0))," ",VLOOKUP(Tableau13[[#This Row],[Code]],'Code Véhicule'!$A$4:$D$185,4,0))</f>
        <v>22772-A-73</v>
      </c>
      <c r="F1429" s="238"/>
      <c r="G1429" s="241" t="s">
        <v>2396</v>
      </c>
      <c r="H1429" s="242" t="s">
        <v>2392</v>
      </c>
      <c r="I1429" s="243" t="s">
        <v>302</v>
      </c>
      <c r="J1429" s="244" t="s">
        <v>2507</v>
      </c>
      <c r="K1429" s="248" t="s">
        <v>2652</v>
      </c>
      <c r="L1429" s="40">
        <v>180</v>
      </c>
      <c r="M1429" s="40">
        <v>180</v>
      </c>
      <c r="N1429" s="245">
        <v>45547</v>
      </c>
      <c r="O1429" s="45"/>
      <c r="P1429" s="45"/>
      <c r="Q1429" s="238" t="e">
        <f>MONTH([1]!Tableau13[[#This Row],[Date début]])</f>
        <v>#REF!</v>
      </c>
      <c r="R1429" s="240" t="e">
        <f>YEAR([1]!Tableau13[[#This Row],[Date début]])</f>
        <v>#REF!</v>
      </c>
    </row>
    <row r="1430" spans="1:18" ht="45">
      <c r="A1430" s="237">
        <v>45547</v>
      </c>
      <c r="B1430" s="238">
        <v>480</v>
      </c>
      <c r="C1430" s="239" t="str">
        <f>IF(ISNA(VLOOKUP(Tableau13[[#This Row],[Code]],'Code Véhicule'!$A$4:$C$185,2,0)),"",VLOOKUP(Tableau13[[#This Row],[Code]],'Code Véhicule'!$A$4:$C$185,2,0))</f>
        <v>Camion</v>
      </c>
      <c r="D1430" s="240" t="str">
        <f>IF(ISNA(VLOOKUP(Tableau13[[#This Row],[Code]],'Code Véhicule'!$A$4:$C$185,3,0)),"",VLOOKUP(Tableau13[[#This Row],[Code]],'Code Véhicule'!$A$4:$C$185,3,0))</f>
        <v>VOLVO</v>
      </c>
      <c r="E1430" s="238" t="str">
        <f>IF(ISNA(VLOOKUP(Tableau13[[#This Row],[Code]],'Code Véhicule'!$A$4:$D$185,4,0))," ",VLOOKUP(Tableau13[[#This Row],[Code]],'Code Véhicule'!$A$4:$D$185,4,0))</f>
        <v>22299-A-73</v>
      </c>
      <c r="F1430" s="238"/>
      <c r="G1430" s="241" t="s">
        <v>2396</v>
      </c>
      <c r="H1430" s="242" t="s">
        <v>2392</v>
      </c>
      <c r="I1430" s="243" t="s">
        <v>302</v>
      </c>
      <c r="J1430" s="244" t="s">
        <v>2507</v>
      </c>
      <c r="K1430" s="248" t="s">
        <v>2653</v>
      </c>
      <c r="L1430" s="40">
        <v>180</v>
      </c>
      <c r="M1430" s="40">
        <v>180</v>
      </c>
      <c r="N1430" s="245">
        <v>45547</v>
      </c>
      <c r="O1430" s="45"/>
      <c r="P1430" s="45"/>
      <c r="Q1430" s="238" t="e">
        <f>MONTH([1]!Tableau13[[#This Row],[Date début]])</f>
        <v>#REF!</v>
      </c>
      <c r="R1430" s="240" t="e">
        <f>YEAR([1]!Tableau13[[#This Row],[Date début]])</f>
        <v>#REF!</v>
      </c>
    </row>
    <row r="1431" spans="1:18" ht="30">
      <c r="A1431" s="237">
        <v>45548</v>
      </c>
      <c r="B1431" s="238">
        <v>471</v>
      </c>
      <c r="C1431" s="239" t="str">
        <f>IF(ISNA(VLOOKUP(Tableau13[[#This Row],[Code]],'Code Véhicule'!$A$4:$C$185,2,0)),"",VLOOKUP(Tableau13[[#This Row],[Code]],'Code Véhicule'!$A$4:$C$185,2,0))</f>
        <v>Bus de transport</v>
      </c>
      <c r="D1431" s="240" t="str">
        <f>IF(ISNA(VLOOKUP(Tableau13[[#This Row],[Code]],'Code Véhicule'!$A$4:$C$185,3,0)),"",VLOOKUP(Tableau13[[#This Row],[Code]],'Code Véhicule'!$A$4:$C$185,3,0))</f>
        <v xml:space="preserve">Hyundai County </v>
      </c>
      <c r="E1431" s="238" t="str">
        <f>IF(ISNA(VLOOKUP(Tableau13[[#This Row],[Code]],'Code Véhicule'!$A$4:$D$185,4,0))," ",VLOOKUP(Tableau13[[#This Row],[Code]],'Code Véhicule'!$A$4:$D$185,4,0))</f>
        <v>18516-A-73</v>
      </c>
      <c r="F1431" s="238"/>
      <c r="G1431" s="241" t="s">
        <v>2396</v>
      </c>
      <c r="H1431" s="242" t="s">
        <v>610</v>
      </c>
      <c r="I1431" s="243" t="s">
        <v>304</v>
      </c>
      <c r="J1431" s="244" t="s">
        <v>2654</v>
      </c>
      <c r="K1431" s="248" t="s">
        <v>2655</v>
      </c>
      <c r="L1431" s="40">
        <v>1080</v>
      </c>
      <c r="M1431" s="40">
        <v>1620</v>
      </c>
      <c r="N1431" s="245">
        <v>45551</v>
      </c>
      <c r="O1431" s="45"/>
      <c r="P1431" s="45"/>
      <c r="Q1431" s="238" t="e">
        <f>MONTH([1]!Tableau13[[#This Row],[Date début]])</f>
        <v>#REF!</v>
      </c>
      <c r="R1431" s="240" t="e">
        <f>YEAR([1]!Tableau13[[#This Row],[Date début]])</f>
        <v>#REF!</v>
      </c>
    </row>
    <row r="1432" spans="1:18">
      <c r="A1432" s="237">
        <v>45548</v>
      </c>
      <c r="B1432" s="238">
        <v>410</v>
      </c>
      <c r="C1432" s="239" t="str">
        <f>IF(ISNA(VLOOKUP(Tableau13[[#This Row],[Code]],'Code Véhicule'!$A$4:$C$185,2,0)),"",VLOOKUP(Tableau13[[#This Row],[Code]],'Code Véhicule'!$A$4:$C$185,2,0))</f>
        <v>Semi remorque</v>
      </c>
      <c r="D1432" s="240" t="str">
        <f>IF(ISNA(VLOOKUP(Tableau13[[#This Row],[Code]],'Code Véhicule'!$A$4:$C$185,3,0)),"",VLOOKUP(Tableau13[[#This Row],[Code]],'Code Véhicule'!$A$4:$C$185,3,0))</f>
        <v>MAN</v>
      </c>
      <c r="E1432" s="238" t="str">
        <f>IF(ISNA(VLOOKUP(Tableau13[[#This Row],[Code]],'Code Véhicule'!$A$4:$D$185,4,0))," ",VLOOKUP(Tableau13[[#This Row],[Code]],'Code Véhicule'!$A$4:$D$185,4,0))</f>
        <v xml:space="preserve">28659-D-1 </v>
      </c>
      <c r="F1432" s="238"/>
      <c r="G1432" s="241" t="s">
        <v>2396</v>
      </c>
      <c r="H1432" s="242" t="s">
        <v>523</v>
      </c>
      <c r="I1432" s="243" t="s">
        <v>304</v>
      </c>
      <c r="J1432" s="244" t="s">
        <v>2656</v>
      </c>
      <c r="K1432" s="248" t="s">
        <v>2657</v>
      </c>
      <c r="L1432" s="40">
        <v>360</v>
      </c>
      <c r="M1432" s="40">
        <v>360</v>
      </c>
      <c r="N1432" s="245" t="s">
        <v>2658</v>
      </c>
      <c r="O1432" s="45"/>
      <c r="P1432" s="45"/>
      <c r="Q1432" s="238" t="e">
        <f>MONTH([1]!Tableau13[[#This Row],[Date début]])</f>
        <v>#REF!</v>
      </c>
      <c r="R1432" s="240" t="e">
        <f>YEAR([1]!Tableau13[[#This Row],[Date début]])</f>
        <v>#REF!</v>
      </c>
    </row>
    <row r="1433" spans="1:18">
      <c r="A1433" s="237">
        <v>45548</v>
      </c>
      <c r="B1433" s="238">
        <v>436</v>
      </c>
      <c r="C1433" s="239" t="str">
        <f>IF(ISNA(VLOOKUP(Tableau13[[#This Row],[Code]],'Code Véhicule'!$A$4:$C$185,2,0)),"",VLOOKUP(Tableau13[[#This Row],[Code]],'Code Véhicule'!$A$4:$C$185,2,0))</f>
        <v>Camion</v>
      </c>
      <c r="D1433" s="240" t="str">
        <f>IF(ISNA(VLOOKUP(Tableau13[[#This Row],[Code]],'Code Véhicule'!$A$4:$C$185,3,0)),"",VLOOKUP(Tableau13[[#This Row],[Code]],'Code Véhicule'!$A$4:$C$185,3,0))</f>
        <v>Mitsubishi</v>
      </c>
      <c r="E1433" s="238" t="str">
        <f>IF(ISNA(VLOOKUP(Tableau13[[#This Row],[Code]],'Code Véhicule'!$A$4:$D$185,4,0))," ",VLOOKUP(Tableau13[[#This Row],[Code]],'Code Véhicule'!$A$4:$D$185,4,0))</f>
        <v>11470-A-73</v>
      </c>
      <c r="F1433" s="238"/>
      <c r="G1433" s="241" t="s">
        <v>2396</v>
      </c>
      <c r="H1433" s="242" t="s">
        <v>353</v>
      </c>
      <c r="I1433" s="243" t="s">
        <v>304</v>
      </c>
      <c r="J1433" s="244" t="s">
        <v>2659</v>
      </c>
      <c r="K1433" s="238">
        <v>1092</v>
      </c>
      <c r="L1433" s="40">
        <v>120</v>
      </c>
      <c r="M1433" s="40">
        <v>120</v>
      </c>
      <c r="N1433" s="245">
        <v>45548</v>
      </c>
      <c r="O1433" s="45"/>
      <c r="P1433" s="45"/>
      <c r="Q1433" s="238" t="e">
        <f>MONTH([1]!Tableau13[[#This Row],[Date début]])</f>
        <v>#REF!</v>
      </c>
      <c r="R1433" s="240" t="e">
        <f>YEAR([1]!Tableau13[[#This Row],[Date début]])</f>
        <v>#REF!</v>
      </c>
    </row>
    <row r="1434" spans="1:18" ht="30">
      <c r="A1434" s="237">
        <v>45549</v>
      </c>
      <c r="B1434" s="238">
        <v>482</v>
      </c>
      <c r="C1434" s="239" t="str">
        <f>IF(ISNA(VLOOKUP(Tableau13[[#This Row],[Code]],'Code Véhicule'!$A$4:$C$185,2,0)),"",VLOOKUP(Tableau13[[#This Row],[Code]],'Code Véhicule'!$A$4:$C$185,2,0))</f>
        <v>Pick up</v>
      </c>
      <c r="D1434" s="240" t="str">
        <f>IF(ISNA(VLOOKUP(Tableau13[[#This Row],[Code]],'Code Véhicule'!$A$4:$C$185,3,0)),"",VLOOKUP(Tableau13[[#This Row],[Code]],'Code Véhicule'!$A$4:$C$185,3,0))</f>
        <v>HYUNDAI H100</v>
      </c>
      <c r="E1434" s="238" t="str">
        <f>IF(ISNA(VLOOKUP(Tableau13[[#This Row],[Code]],'Code Véhicule'!$A$4:$D$185,4,0))," ",VLOOKUP(Tableau13[[#This Row],[Code]],'Code Véhicule'!$A$4:$D$185,4,0))</f>
        <v>22368-A-73</v>
      </c>
      <c r="F1434" s="238"/>
      <c r="G1434" s="241" t="s">
        <v>2396</v>
      </c>
      <c r="H1434" s="242" t="s">
        <v>2392</v>
      </c>
      <c r="I1434" s="243" t="s">
        <v>302</v>
      </c>
      <c r="J1434" s="244" t="s">
        <v>2660</v>
      </c>
      <c r="K1434" s="248" t="s">
        <v>2661</v>
      </c>
      <c r="L1434" s="40">
        <v>120</v>
      </c>
      <c r="M1434" s="40">
        <v>120</v>
      </c>
      <c r="N1434" s="245">
        <v>45549</v>
      </c>
      <c r="O1434" s="45"/>
      <c r="P1434" s="45"/>
      <c r="Q1434" s="238" t="e">
        <f>MONTH([1]!Tableau13[[#This Row],[Date début]])</f>
        <v>#REF!</v>
      </c>
      <c r="R1434" s="240" t="e">
        <f>YEAR([1]!Tableau13[[#This Row],[Date début]])</f>
        <v>#REF!</v>
      </c>
    </row>
    <row r="1435" spans="1:18">
      <c r="A1435" s="237">
        <v>45553</v>
      </c>
      <c r="B1435" s="238">
        <v>407</v>
      </c>
      <c r="C1435" s="239" t="str">
        <f>IF(ISNA(VLOOKUP(Tableau13[[#This Row],[Code]],'Code Véhicule'!$A$4:$C$185,2,0)),"",VLOOKUP(Tableau13[[#This Row],[Code]],'Code Véhicule'!$A$4:$C$185,2,0))</f>
        <v>Semi remorque</v>
      </c>
      <c r="D1435" s="240" t="str">
        <f>IF(ISNA(VLOOKUP(Tableau13[[#This Row],[Code]],'Code Véhicule'!$A$4:$C$185,3,0)),"",VLOOKUP(Tableau13[[#This Row],[Code]],'Code Véhicule'!$A$4:$C$185,3,0))</f>
        <v>MAN</v>
      </c>
      <c r="E1435" s="238" t="str">
        <f>IF(ISNA(VLOOKUP(Tableau13[[#This Row],[Code]],'Code Véhicule'!$A$4:$D$185,4,0))," ",VLOOKUP(Tableau13[[#This Row],[Code]],'Code Véhicule'!$A$4:$D$185,4,0))</f>
        <v>706-A-73</v>
      </c>
      <c r="F1435" s="238"/>
      <c r="G1435" s="241" t="s">
        <v>2396</v>
      </c>
      <c r="H1435" s="242" t="s">
        <v>1008</v>
      </c>
      <c r="I1435" s="243" t="s">
        <v>304</v>
      </c>
      <c r="J1435" s="244" t="s">
        <v>2662</v>
      </c>
      <c r="K1435" s="248" t="s">
        <v>2663</v>
      </c>
      <c r="L1435" s="40">
        <v>240</v>
      </c>
      <c r="M1435" s="40">
        <v>240</v>
      </c>
      <c r="N1435" s="245">
        <v>45553</v>
      </c>
      <c r="O1435" s="45"/>
      <c r="P1435" s="45"/>
      <c r="Q1435" s="238" t="e">
        <f>MONTH([1]!Tableau13[[#This Row],[Date début]])</f>
        <v>#REF!</v>
      </c>
      <c r="R1435" s="240" t="e">
        <f>YEAR([1]!Tableau13[[#This Row],[Date début]])</f>
        <v>#REF!</v>
      </c>
    </row>
    <row r="1436" spans="1:18" ht="60">
      <c r="A1436" s="237">
        <v>45556</v>
      </c>
      <c r="B1436" s="238">
        <v>471</v>
      </c>
      <c r="C1436" s="239" t="str">
        <f>IF(ISNA(VLOOKUP(Tableau13[[#This Row],[Code]],'Code Véhicule'!$A$4:$C$185,2,0)),"",VLOOKUP(Tableau13[[#This Row],[Code]],'Code Véhicule'!$A$4:$C$185,2,0))</f>
        <v>Bus de transport</v>
      </c>
      <c r="D1436" s="240" t="str">
        <f>IF(ISNA(VLOOKUP(Tableau13[[#This Row],[Code]],'Code Véhicule'!$A$4:$C$185,3,0)),"",VLOOKUP(Tableau13[[#This Row],[Code]],'Code Véhicule'!$A$4:$C$185,3,0))</f>
        <v xml:space="preserve">Hyundai County </v>
      </c>
      <c r="E1436" s="238" t="str">
        <f>IF(ISNA(VLOOKUP(Tableau13[[#This Row],[Code]],'Code Véhicule'!$A$4:$D$185,4,0))," ",VLOOKUP(Tableau13[[#This Row],[Code]],'Code Véhicule'!$A$4:$D$185,4,0))</f>
        <v>18516-A-73</v>
      </c>
      <c r="F1436" s="238"/>
      <c r="G1436" s="241" t="s">
        <v>2396</v>
      </c>
      <c r="H1436" s="242" t="s">
        <v>2392</v>
      </c>
      <c r="I1436" s="243" t="s">
        <v>302</v>
      </c>
      <c r="J1436" s="244" t="s">
        <v>2498</v>
      </c>
      <c r="K1436" s="248" t="s">
        <v>2664</v>
      </c>
      <c r="L1436" s="40">
        <v>240</v>
      </c>
      <c r="M1436" s="40">
        <v>240</v>
      </c>
      <c r="N1436" s="245">
        <v>45556</v>
      </c>
      <c r="O1436" s="45"/>
      <c r="P1436" s="45"/>
      <c r="Q1436" s="238" t="e">
        <f>MONTH([1]!Tableau13[[#This Row],[Date début]])</f>
        <v>#REF!</v>
      </c>
      <c r="R1436" s="240" t="e">
        <f>YEAR([1]!Tableau13[[#This Row],[Date début]])</f>
        <v>#REF!</v>
      </c>
    </row>
    <row r="1437" spans="1:18">
      <c r="A1437" s="237">
        <v>45559</v>
      </c>
      <c r="B1437" s="238">
        <v>406</v>
      </c>
      <c r="C1437" s="239" t="str">
        <f>IF(ISNA(VLOOKUP(Tableau13[[#This Row],[Code]],'Code Véhicule'!$A$4:$C$185,2,0)),"",VLOOKUP(Tableau13[[#This Row],[Code]],'Code Véhicule'!$A$4:$C$185,2,0))</f>
        <v>Semi remorque</v>
      </c>
      <c r="D1437" s="240" t="str">
        <f>IF(ISNA(VLOOKUP(Tableau13[[#This Row],[Code]],'Code Véhicule'!$A$4:$C$185,3,0)),"",VLOOKUP(Tableau13[[#This Row],[Code]],'Code Véhicule'!$A$4:$C$185,3,0))</f>
        <v>VOLVO</v>
      </c>
      <c r="E1437" s="238" t="str">
        <f>IF(ISNA(VLOOKUP(Tableau13[[#This Row],[Code]],'Code Véhicule'!$A$4:$D$185,4,0))," ",VLOOKUP(Tableau13[[#This Row],[Code]],'Code Véhicule'!$A$4:$D$185,4,0))</f>
        <v>70352-A-6</v>
      </c>
      <c r="F1437" s="238"/>
      <c r="G1437" s="241" t="s">
        <v>2396</v>
      </c>
      <c r="H1437" s="242" t="s">
        <v>2392</v>
      </c>
      <c r="I1437" s="243" t="s">
        <v>302</v>
      </c>
      <c r="J1437" s="244" t="s">
        <v>528</v>
      </c>
      <c r="K1437" s="248" t="s">
        <v>2665</v>
      </c>
      <c r="L1437" s="40">
        <v>120</v>
      </c>
      <c r="M1437" s="40">
        <v>120</v>
      </c>
      <c r="N1437" s="245">
        <v>45559</v>
      </c>
      <c r="O1437" s="45"/>
      <c r="P1437" s="45"/>
      <c r="Q1437" s="238" t="e">
        <f>MONTH([1]!Tableau13[[#This Row],[Date début]])</f>
        <v>#REF!</v>
      </c>
      <c r="R1437" s="240" t="e">
        <f>YEAR([1]!Tableau13[[#This Row],[Date début]])</f>
        <v>#REF!</v>
      </c>
    </row>
    <row r="1438" spans="1:18">
      <c r="A1438" s="237">
        <v>45559</v>
      </c>
      <c r="B1438" s="238">
        <v>430</v>
      </c>
      <c r="C1438" s="239" t="str">
        <f>IF(ISNA(VLOOKUP(Tableau13[[#This Row],[Code]],'Code Véhicule'!$A$4:$C$185,2,0)),"",VLOOKUP(Tableau13[[#This Row],[Code]],'Code Véhicule'!$A$4:$C$185,2,0))</f>
        <v>Chariot elevateur</v>
      </c>
      <c r="D1438" s="240" t="str">
        <f>IF(ISNA(VLOOKUP(Tableau13[[#This Row],[Code]],'Code Véhicule'!$A$4:$C$185,3,0)),"",VLOOKUP(Tableau13[[#This Row],[Code]],'Code Véhicule'!$A$4:$C$185,3,0))</f>
        <v>Fenwick  H40</v>
      </c>
      <c r="E1438" s="238" t="str">
        <f>IF(ISNA(VLOOKUP(Tableau13[[#This Row],[Code]],'Code Véhicule'!$A$4:$D$185,4,0))," ",VLOOKUP(Tableau13[[#This Row],[Code]],'Code Véhicule'!$A$4:$D$185,4,0))</f>
        <v>-</v>
      </c>
      <c r="F1438" s="238"/>
      <c r="G1438" s="241" t="s">
        <v>525</v>
      </c>
      <c r="H1438" s="242" t="s">
        <v>1008</v>
      </c>
      <c r="I1438" s="243" t="s">
        <v>304</v>
      </c>
      <c r="J1438" s="244" t="s">
        <v>2666</v>
      </c>
      <c r="K1438" s="248" t="s">
        <v>2667</v>
      </c>
      <c r="L1438" s="40">
        <v>120</v>
      </c>
      <c r="M1438" s="40">
        <v>120</v>
      </c>
      <c r="N1438" s="245">
        <v>45559</v>
      </c>
      <c r="O1438" s="45"/>
      <c r="P1438" s="45"/>
      <c r="Q1438" s="238" t="e">
        <f>MONTH([1]!Tableau13[[#This Row],[Date début]])</f>
        <v>#REF!</v>
      </c>
      <c r="R1438" s="240" t="e">
        <f>YEAR([1]!Tableau13[[#This Row],[Date début]])</f>
        <v>#REF!</v>
      </c>
    </row>
    <row r="1439" spans="1:18">
      <c r="A1439" s="237">
        <v>45561</v>
      </c>
      <c r="B1439" s="238">
        <v>436</v>
      </c>
      <c r="C1439" s="239" t="str">
        <f>IF(ISNA(VLOOKUP(Tableau13[[#This Row],[Code]],'Code Véhicule'!$A$4:$C$185,2,0)),"",VLOOKUP(Tableau13[[#This Row],[Code]],'Code Véhicule'!$A$4:$C$185,2,0))</f>
        <v>Camion</v>
      </c>
      <c r="D1439" s="240" t="str">
        <f>IF(ISNA(VLOOKUP(Tableau13[[#This Row],[Code]],'Code Véhicule'!$A$4:$C$185,3,0)),"",VLOOKUP(Tableau13[[#This Row],[Code]],'Code Véhicule'!$A$4:$C$185,3,0))</f>
        <v>Mitsubishi</v>
      </c>
      <c r="E1439" s="238" t="str">
        <f>IF(ISNA(VLOOKUP(Tableau13[[#This Row],[Code]],'Code Véhicule'!$A$4:$D$185,4,0))," ",VLOOKUP(Tableau13[[#This Row],[Code]],'Code Véhicule'!$A$4:$D$185,4,0))</f>
        <v>11470-A-73</v>
      </c>
      <c r="F1439" s="238"/>
      <c r="G1439" s="241" t="s">
        <v>2396</v>
      </c>
      <c r="H1439" s="242" t="s">
        <v>661</v>
      </c>
      <c r="I1439" s="243" t="s">
        <v>304</v>
      </c>
      <c r="J1439" s="244" t="s">
        <v>2668</v>
      </c>
      <c r="K1439" s="248" t="s">
        <v>2669</v>
      </c>
      <c r="L1439" s="40">
        <v>1620</v>
      </c>
      <c r="M1439" s="40">
        <v>3780</v>
      </c>
      <c r="N1439" s="245">
        <v>45568</v>
      </c>
      <c r="O1439" s="45"/>
      <c r="P1439" s="45"/>
      <c r="Q1439" s="238" t="e">
        <f>MONTH([1]!Tableau13[[#This Row],[Date début]])</f>
        <v>#REF!</v>
      </c>
      <c r="R1439" s="240" t="e">
        <f>YEAR([1]!Tableau13[[#This Row],[Date début]])</f>
        <v>#REF!</v>
      </c>
    </row>
    <row r="1440" spans="1:18" ht="45">
      <c r="A1440" s="237">
        <v>45563</v>
      </c>
      <c r="B1440" s="238">
        <v>431</v>
      </c>
      <c r="C1440" s="239" t="str">
        <f>IF(ISNA(VLOOKUP(Tableau13[[#This Row],[Code]],'Code Véhicule'!$A$4:$C$185,2,0)),"",VLOOKUP(Tableau13[[#This Row],[Code]],'Code Véhicule'!$A$4:$C$185,2,0))</f>
        <v>Chariot elevateur</v>
      </c>
      <c r="D1440" s="240" t="str">
        <f>IF(ISNA(VLOOKUP(Tableau13[[#This Row],[Code]],'Code Véhicule'!$A$4:$C$185,3,0)),"",VLOOKUP(Tableau13[[#This Row],[Code]],'Code Véhicule'!$A$4:$C$185,3,0))</f>
        <v>Manitou M26-2</v>
      </c>
      <c r="E1440" s="238" t="str">
        <f>IF(ISNA(VLOOKUP(Tableau13[[#This Row],[Code]],'Code Véhicule'!$A$4:$D$185,4,0))," ",VLOOKUP(Tableau13[[#This Row],[Code]],'Code Véhicule'!$A$4:$D$185,4,0))</f>
        <v>-</v>
      </c>
      <c r="F1440" s="238"/>
      <c r="G1440" s="241" t="s">
        <v>525</v>
      </c>
      <c r="H1440" s="242" t="s">
        <v>2446</v>
      </c>
      <c r="I1440" s="243" t="s">
        <v>780</v>
      </c>
      <c r="J1440" s="244" t="s">
        <v>2670</v>
      </c>
      <c r="K1440" s="238" t="s">
        <v>2671</v>
      </c>
      <c r="L1440" s="40">
        <v>240</v>
      </c>
      <c r="M1440" s="40">
        <v>240</v>
      </c>
      <c r="N1440" s="245">
        <v>45563</v>
      </c>
      <c r="O1440" s="45"/>
      <c r="P1440" s="45"/>
      <c r="Q1440" s="238" t="e">
        <f>MONTH([1]!Tableau13[[#This Row],[Date début]])</f>
        <v>#REF!</v>
      </c>
      <c r="R1440" s="240" t="e">
        <f>YEAR([1]!Tableau13[[#This Row],[Date début]])</f>
        <v>#REF!</v>
      </c>
    </row>
    <row r="1441" spans="1:18" ht="30">
      <c r="A1441" s="237">
        <v>45566</v>
      </c>
      <c r="B1441" s="238">
        <v>431</v>
      </c>
      <c r="C1441" s="239" t="str">
        <f>IF(ISNA(VLOOKUP(Tableau13[[#This Row],[Code]],'Code Véhicule'!$A$4:$C$185,2,0)),"",VLOOKUP(Tableau13[[#This Row],[Code]],'Code Véhicule'!$A$4:$C$185,2,0))</f>
        <v>Chariot elevateur</v>
      </c>
      <c r="D1441" s="240" t="str">
        <f>IF(ISNA(VLOOKUP(Tableau13[[#This Row],[Code]],'Code Véhicule'!$A$4:$C$185,3,0)),"",VLOOKUP(Tableau13[[#This Row],[Code]],'Code Véhicule'!$A$4:$C$185,3,0))</f>
        <v>Manitou M26-2</v>
      </c>
      <c r="E1441" s="238" t="str">
        <f>IF(ISNA(VLOOKUP(Tableau13[[#This Row],[Code]],'Code Véhicule'!$A$4:$D$185,4,0))," ",VLOOKUP(Tableau13[[#This Row],[Code]],'Code Véhicule'!$A$4:$D$185,4,0))</f>
        <v>-</v>
      </c>
      <c r="F1441" s="238"/>
      <c r="G1441" s="241" t="s">
        <v>2396</v>
      </c>
      <c r="H1441" s="242" t="s">
        <v>2392</v>
      </c>
      <c r="I1441" s="243" t="s">
        <v>304</v>
      </c>
      <c r="J1441" s="244" t="s">
        <v>2574</v>
      </c>
      <c r="K1441" s="248" t="s">
        <v>2675</v>
      </c>
      <c r="L1441" s="40">
        <v>120</v>
      </c>
      <c r="M1441" s="40">
        <v>120</v>
      </c>
      <c r="N1441" s="245">
        <v>45566</v>
      </c>
      <c r="O1441" s="45"/>
      <c r="P1441" s="45"/>
      <c r="Q1441" s="238" t="e">
        <f>MONTH([1]!Tableau13[[#This Row],[Date début]])</f>
        <v>#REF!</v>
      </c>
      <c r="R1441" s="240" t="e">
        <f>YEAR([1]!Tableau13[[#This Row],[Date début]])</f>
        <v>#REF!</v>
      </c>
    </row>
    <row r="1442" spans="1:18" ht="30">
      <c r="A1442" s="237">
        <v>45566</v>
      </c>
      <c r="B1442" s="238">
        <v>411</v>
      </c>
      <c r="C1442" s="239" t="str">
        <f>IF(ISNA(VLOOKUP(Tableau13[[#This Row],[Code]],'Code Véhicule'!$A$4:$C$185,2,0)),"",VLOOKUP(Tableau13[[#This Row],[Code]],'Code Véhicule'!$A$4:$C$185,2,0))</f>
        <v>Camion</v>
      </c>
      <c r="D1442" s="240" t="str">
        <f>IF(ISNA(VLOOKUP(Tableau13[[#This Row],[Code]],'Code Véhicule'!$A$4:$C$185,3,0)),"",VLOOKUP(Tableau13[[#This Row],[Code]],'Code Véhicule'!$A$4:$C$185,3,0))</f>
        <v>Renault</v>
      </c>
      <c r="E1442" s="238" t="str">
        <f>IF(ISNA(VLOOKUP(Tableau13[[#This Row],[Code]],'Code Véhicule'!$A$4:$D$185,4,0))," ",VLOOKUP(Tableau13[[#This Row],[Code]],'Code Véhicule'!$A$4:$D$185,4,0))</f>
        <v>25636-A-13</v>
      </c>
      <c r="F1442" s="238"/>
      <c r="G1442" s="241" t="s">
        <v>2396</v>
      </c>
      <c r="H1442" s="242" t="s">
        <v>2392</v>
      </c>
      <c r="I1442" s="243" t="s">
        <v>302</v>
      </c>
      <c r="J1442" s="244" t="s">
        <v>2672</v>
      </c>
      <c r="K1442" s="248" t="s">
        <v>2674</v>
      </c>
      <c r="L1442" s="40">
        <v>540</v>
      </c>
      <c r="M1442" s="40">
        <v>540</v>
      </c>
      <c r="N1442" s="245">
        <v>45566</v>
      </c>
      <c r="O1442" s="45"/>
      <c r="P1442" s="45"/>
      <c r="Q1442" s="238" t="e">
        <f>MONTH([1]!Tableau13[[#This Row],[Date début]])</f>
        <v>#REF!</v>
      </c>
      <c r="R1442" s="240" t="e">
        <f>YEAR([1]!Tableau13[[#This Row],[Date début]])</f>
        <v>#REF!</v>
      </c>
    </row>
    <row r="1443" spans="1:18" ht="60">
      <c r="A1443" s="237">
        <v>45568</v>
      </c>
      <c r="B1443" s="238">
        <v>436</v>
      </c>
      <c r="C1443" s="239" t="str">
        <f>IF(ISNA(VLOOKUP(Tableau13[[#This Row],[Code]],'Code Véhicule'!$A$4:$C$185,2,0)),"",VLOOKUP(Tableau13[[#This Row],[Code]],'Code Véhicule'!$A$4:$C$185,2,0))</f>
        <v>Camion</v>
      </c>
      <c r="D1443" s="240" t="str">
        <f>IF(ISNA(VLOOKUP(Tableau13[[#This Row],[Code]],'Code Véhicule'!$A$4:$C$185,3,0)),"",VLOOKUP(Tableau13[[#This Row],[Code]],'Code Véhicule'!$A$4:$C$185,3,0))</f>
        <v>Mitsubishi</v>
      </c>
      <c r="E1443" s="238" t="str">
        <f>IF(ISNA(VLOOKUP(Tableau13[[#This Row],[Code]],'Code Véhicule'!$A$4:$D$185,4,0))," ",VLOOKUP(Tableau13[[#This Row],[Code]],'Code Véhicule'!$A$4:$D$185,4,0))</f>
        <v>11470-A-73</v>
      </c>
      <c r="F1443" s="238"/>
      <c r="G1443" s="241" t="s">
        <v>2396</v>
      </c>
      <c r="H1443" s="242" t="s">
        <v>2392</v>
      </c>
      <c r="I1443" s="243" t="s">
        <v>302</v>
      </c>
      <c r="J1443" s="244" t="s">
        <v>2498</v>
      </c>
      <c r="K1443" s="248" t="s">
        <v>2673</v>
      </c>
      <c r="L1443" s="40">
        <v>240</v>
      </c>
      <c r="M1443" s="40">
        <v>240</v>
      </c>
      <c r="N1443" s="245">
        <v>45568</v>
      </c>
      <c r="O1443" s="45"/>
      <c r="P1443" s="45"/>
      <c r="Q1443" s="238" t="e">
        <f>MONTH([1]!Tableau13[[#This Row],[Date début]])</f>
        <v>#REF!</v>
      </c>
      <c r="R1443" s="240" t="e">
        <f>YEAR([1]!Tableau13[[#This Row],[Date début]])</f>
        <v>#REF!</v>
      </c>
    </row>
    <row r="1444" spans="1:18" ht="30">
      <c r="A1444" s="237">
        <v>45568</v>
      </c>
      <c r="B1444" s="238">
        <v>427</v>
      </c>
      <c r="C1444" s="239" t="str">
        <f>IF(ISNA(VLOOKUP(Tableau13[[#This Row],[Code]],'Code Véhicule'!$A$4:$C$185,2,0)),"",VLOOKUP(Tableau13[[#This Row],[Code]],'Code Véhicule'!$A$4:$C$185,2,0))</f>
        <v>Chariot elevateur</v>
      </c>
      <c r="D1444" s="240" t="str">
        <f>IF(ISNA(VLOOKUP(Tableau13[[#This Row],[Code]],'Code Véhicule'!$A$4:$C$185,3,0)),"",VLOOKUP(Tableau13[[#This Row],[Code]],'Code Véhicule'!$A$4:$C$185,3,0))</f>
        <v>Linde H30</v>
      </c>
      <c r="E1444" s="238" t="str">
        <f>IF(ISNA(VLOOKUP(Tableau13[[#This Row],[Code]],'Code Véhicule'!$A$4:$D$185,4,0))," ",VLOOKUP(Tableau13[[#This Row],[Code]],'Code Véhicule'!$A$4:$D$185,4,0))</f>
        <v>-</v>
      </c>
      <c r="F1444" s="238"/>
      <c r="G1444" s="241" t="s">
        <v>2396</v>
      </c>
      <c r="H1444" s="242" t="s">
        <v>2392</v>
      </c>
      <c r="I1444" s="243" t="s">
        <v>302</v>
      </c>
      <c r="J1444" s="244" t="s">
        <v>2574</v>
      </c>
      <c r="K1444" s="248" t="s">
        <v>2676</v>
      </c>
      <c r="L1444" s="40">
        <v>120</v>
      </c>
      <c r="M1444" s="40">
        <v>120</v>
      </c>
      <c r="N1444" s="245">
        <v>45568</v>
      </c>
      <c r="O1444" s="45"/>
      <c r="P1444" s="45"/>
      <c r="Q1444" s="238" t="e">
        <f>MONTH([1]!Tableau13[[#This Row],[Date début]])</f>
        <v>#REF!</v>
      </c>
      <c r="R1444" s="240" t="e">
        <f>YEAR([1]!Tableau13[[#This Row],[Date début]])</f>
        <v>#REF!</v>
      </c>
    </row>
    <row r="1445" spans="1:18" ht="30">
      <c r="A1445" s="237">
        <v>45568</v>
      </c>
      <c r="B1445" s="238">
        <v>438</v>
      </c>
      <c r="C1445" s="239" t="str">
        <f>IF(ISNA(VLOOKUP(Tableau13[[#This Row],[Code]],'Code Véhicule'!$A$4:$C$185,2,0)),"",VLOOKUP(Tableau13[[#This Row],[Code]],'Code Véhicule'!$A$4:$C$185,2,0))</f>
        <v>Semi remorque</v>
      </c>
      <c r="D1445" s="240" t="str">
        <f>IF(ISNA(VLOOKUP(Tableau13[[#This Row],[Code]],'Code Véhicule'!$A$4:$C$185,3,0)),"",VLOOKUP(Tableau13[[#This Row],[Code]],'Code Véhicule'!$A$4:$C$185,3,0))</f>
        <v>VOLVO</v>
      </c>
      <c r="E1445" s="238" t="str">
        <f>IF(ISNA(VLOOKUP(Tableau13[[#This Row],[Code]],'Code Véhicule'!$A$4:$D$185,4,0))," ",VLOOKUP(Tableau13[[#This Row],[Code]],'Code Véhicule'!$A$4:$D$185,4,0))</f>
        <v xml:space="preserve">17885-A-73 </v>
      </c>
      <c r="F1445" s="238"/>
      <c r="G1445" s="241" t="s">
        <v>2396</v>
      </c>
      <c r="H1445" s="242" t="s">
        <v>2677</v>
      </c>
      <c r="I1445" s="243" t="s">
        <v>304</v>
      </c>
      <c r="J1445" s="244" t="s">
        <v>2678</v>
      </c>
      <c r="K1445" s="248" t="s">
        <v>2679</v>
      </c>
      <c r="L1445" s="40">
        <v>1080</v>
      </c>
      <c r="M1445" s="40">
        <v>1080</v>
      </c>
      <c r="N1445" s="245">
        <v>45569</v>
      </c>
      <c r="O1445" s="45"/>
      <c r="P1445" s="45"/>
      <c r="Q1445" s="238" t="e">
        <f>MONTH([1]!Tableau13[[#This Row],[Date début]])</f>
        <v>#REF!</v>
      </c>
      <c r="R1445" s="240" t="e">
        <f>YEAR([1]!Tableau13[[#This Row],[Date début]])</f>
        <v>#REF!</v>
      </c>
    </row>
    <row r="1446" spans="1:18" ht="30">
      <c r="A1446" s="237">
        <v>45568</v>
      </c>
      <c r="B1446" s="238">
        <v>427</v>
      </c>
      <c r="C1446" s="239" t="str">
        <f>IF(ISNA(VLOOKUP(Tableau13[[#This Row],[Code]],'Code Véhicule'!$A$4:$C$185,2,0)),"",VLOOKUP(Tableau13[[#This Row],[Code]],'Code Véhicule'!$A$4:$C$185,2,0))</f>
        <v>Chariot elevateur</v>
      </c>
      <c r="D1446" s="240" t="str">
        <f>IF(ISNA(VLOOKUP(Tableau13[[#This Row],[Code]],'Code Véhicule'!$A$4:$C$185,3,0)),"",VLOOKUP(Tableau13[[#This Row],[Code]],'Code Véhicule'!$A$4:$C$185,3,0))</f>
        <v>Linde H30</v>
      </c>
      <c r="E1446" s="238" t="str">
        <f>IF(ISNA(VLOOKUP(Tableau13[[#This Row],[Code]],'Code Véhicule'!$A$4:$D$185,4,0))," ",VLOOKUP(Tableau13[[#This Row],[Code]],'Code Véhicule'!$A$4:$D$185,4,0))</f>
        <v>-</v>
      </c>
      <c r="F1446" s="238"/>
      <c r="G1446" s="241" t="s">
        <v>525</v>
      </c>
      <c r="H1446" s="242" t="s">
        <v>2446</v>
      </c>
      <c r="I1446" s="243" t="s">
        <v>304</v>
      </c>
      <c r="J1446" s="244" t="s">
        <v>2680</v>
      </c>
      <c r="K1446" s="248" t="s">
        <v>2681</v>
      </c>
      <c r="L1446" s="40">
        <v>120</v>
      </c>
      <c r="M1446" s="40">
        <v>120</v>
      </c>
      <c r="N1446" s="245">
        <v>45568</v>
      </c>
      <c r="O1446" s="45"/>
      <c r="P1446" s="45"/>
      <c r="Q1446" s="238" t="e">
        <f>MONTH([1]!Tableau13[[#This Row],[Date début]])</f>
        <v>#REF!</v>
      </c>
      <c r="R1446" s="240" t="e">
        <f>YEAR([1]!Tableau13[[#This Row],[Date début]])</f>
        <v>#REF!</v>
      </c>
    </row>
    <row r="1447" spans="1:18">
      <c r="A1447" s="237">
        <v>45573</v>
      </c>
      <c r="B1447" s="238">
        <v>479</v>
      </c>
      <c r="C1447" s="239" t="str">
        <f>IF(ISNA(VLOOKUP(Tableau13[[#This Row],[Code]],'Code Véhicule'!$A$4:$C$185,2,0)),"",VLOOKUP(Tableau13[[#This Row],[Code]],'Code Véhicule'!$A$4:$C$185,2,0))</f>
        <v>Bus de transport</v>
      </c>
      <c r="D1447" s="240" t="str">
        <f>IF(ISNA(VLOOKUP(Tableau13[[#This Row],[Code]],'Code Véhicule'!$A$4:$C$185,3,0)),"",VLOOKUP(Tableau13[[#This Row],[Code]],'Code Véhicule'!$A$4:$C$185,3,0))</f>
        <v>Hyundai County</v>
      </c>
      <c r="E1447" s="238" t="str">
        <f>IF(ISNA(VLOOKUP(Tableau13[[#This Row],[Code]],'Code Véhicule'!$A$4:$D$185,4,0))," ",VLOOKUP(Tableau13[[#This Row],[Code]],'Code Véhicule'!$A$4:$D$185,4,0))</f>
        <v>22772-A-73</v>
      </c>
      <c r="F1447" s="238"/>
      <c r="G1447" s="241" t="s">
        <v>525</v>
      </c>
      <c r="H1447" s="242" t="s">
        <v>560</v>
      </c>
      <c r="I1447" s="243" t="s">
        <v>304</v>
      </c>
      <c r="J1447" s="244" t="s">
        <v>2475</v>
      </c>
      <c r="K1447" s="248" t="s">
        <v>2682</v>
      </c>
      <c r="L1447" s="40">
        <v>120</v>
      </c>
      <c r="M1447" s="40">
        <v>120</v>
      </c>
      <c r="N1447" s="245">
        <v>45573</v>
      </c>
      <c r="O1447" s="45"/>
      <c r="P1447" s="45"/>
      <c r="Q1447" s="238" t="e">
        <f>MONTH([1]!Tableau13[[#This Row],[Date début]])</f>
        <v>#REF!</v>
      </c>
      <c r="R1447" s="240" t="e">
        <f>YEAR([1]!Tableau13[[#This Row],[Date début]])</f>
        <v>#REF!</v>
      </c>
    </row>
    <row r="1448" spans="1:18" ht="45">
      <c r="A1448" s="237">
        <v>45573</v>
      </c>
      <c r="B1448" s="238">
        <v>403</v>
      </c>
      <c r="C1448" s="239" t="str">
        <f>IF(ISNA(VLOOKUP(Tableau13[[#This Row],[Code]],'Code Véhicule'!$A$4:$C$185,2,0)),"",VLOOKUP(Tableau13[[#This Row],[Code]],'Code Véhicule'!$A$4:$C$185,2,0))</f>
        <v>Camion</v>
      </c>
      <c r="D1448" s="240" t="str">
        <f>IF(ISNA(VLOOKUP(Tableau13[[#This Row],[Code]],'Code Véhicule'!$A$4:$C$185,3,0)),"",VLOOKUP(Tableau13[[#This Row],[Code]],'Code Véhicule'!$A$4:$C$185,3,0))</f>
        <v>MAN</v>
      </c>
      <c r="E1448" s="238" t="str">
        <f>IF(ISNA(VLOOKUP(Tableau13[[#This Row],[Code]],'Code Véhicule'!$A$4:$D$185,4,0))," ",VLOOKUP(Tableau13[[#This Row],[Code]],'Code Véhicule'!$A$4:$D$185,4,0))</f>
        <v>4790-B-8</v>
      </c>
      <c r="F1448" s="238"/>
      <c r="G1448" s="241" t="s">
        <v>2396</v>
      </c>
      <c r="H1448" s="242" t="s">
        <v>2392</v>
      </c>
      <c r="I1448" s="243" t="s">
        <v>302</v>
      </c>
      <c r="J1448" s="244" t="s">
        <v>2683</v>
      </c>
      <c r="K1448" s="248" t="s">
        <v>2684</v>
      </c>
      <c r="L1448" s="40">
        <v>120</v>
      </c>
      <c r="M1448" s="40">
        <v>120</v>
      </c>
      <c r="N1448" s="245">
        <v>45573</v>
      </c>
      <c r="O1448" s="45"/>
      <c r="P1448" s="45"/>
      <c r="Q1448" s="238" t="e">
        <f>MONTH([1]!Tableau13[[#This Row],[Date début]])</f>
        <v>#REF!</v>
      </c>
      <c r="R1448" s="240" t="e">
        <f>YEAR([1]!Tableau13[[#This Row],[Date début]])</f>
        <v>#REF!</v>
      </c>
    </row>
    <row r="1449" spans="1:18" ht="45">
      <c r="A1449" s="237">
        <v>45574</v>
      </c>
      <c r="B1449" s="238">
        <v>435</v>
      </c>
      <c r="C1449" s="239" t="str">
        <f>IF(ISNA(VLOOKUP(Tableau13[[#This Row],[Code]],'Code Véhicule'!$A$4:$C$185,2,0)),"",VLOOKUP(Tableau13[[#This Row],[Code]],'Code Véhicule'!$A$4:$C$185,2,0))</f>
        <v>Camion</v>
      </c>
      <c r="D1449" s="240" t="str">
        <f>IF(ISNA(VLOOKUP(Tableau13[[#This Row],[Code]],'Code Véhicule'!$A$4:$C$185,3,0)),"",VLOOKUP(Tableau13[[#This Row],[Code]],'Code Véhicule'!$A$4:$C$185,3,0))</f>
        <v>Mitsubishi</v>
      </c>
      <c r="E1449" s="238" t="str">
        <f>IF(ISNA(VLOOKUP(Tableau13[[#This Row],[Code]],'Code Véhicule'!$A$4:$D$185,4,0))," ",VLOOKUP(Tableau13[[#This Row],[Code]],'Code Véhicule'!$A$4:$D$185,4,0))</f>
        <v xml:space="preserve"> 11469-A-73</v>
      </c>
      <c r="F1449" s="238"/>
      <c r="G1449" s="241" t="s">
        <v>2396</v>
      </c>
      <c r="H1449" s="242" t="s">
        <v>2186</v>
      </c>
      <c r="I1449" s="243" t="s">
        <v>302</v>
      </c>
      <c r="J1449" s="244" t="s">
        <v>2507</v>
      </c>
      <c r="K1449" s="248" t="s">
        <v>2685</v>
      </c>
      <c r="L1449" s="40">
        <v>180</v>
      </c>
      <c r="M1449" s="40">
        <v>240</v>
      </c>
      <c r="N1449" s="245">
        <v>45574</v>
      </c>
      <c r="O1449" s="45"/>
      <c r="P1449" s="45"/>
      <c r="Q1449" s="238" t="e">
        <f>MONTH([1]!Tableau13[[#This Row],[Date début]])</f>
        <v>#REF!</v>
      </c>
      <c r="R1449" s="240" t="e">
        <f>YEAR([1]!Tableau13[[#This Row],[Date début]])</f>
        <v>#REF!</v>
      </c>
    </row>
    <row r="1450" spans="1:18">
      <c r="A1450" s="237">
        <v>45574</v>
      </c>
      <c r="B1450" s="238">
        <v>484</v>
      </c>
      <c r="C1450" s="239" t="str">
        <f>IF(ISNA(VLOOKUP(Tableau13[[#This Row],[Code]],'Code Véhicule'!$A$4:$C$185,2,0)),"",VLOOKUP(Tableau13[[#This Row],[Code]],'Code Véhicule'!$A$4:$C$185,2,0))</f>
        <v>Chariot elevateur</v>
      </c>
      <c r="D1450" s="240" t="str">
        <f>IF(ISNA(VLOOKUP(Tableau13[[#This Row],[Code]],'Code Véhicule'!$A$4:$C$185,3,0)),"",VLOOKUP(Tableau13[[#This Row],[Code]],'Code Véhicule'!$A$4:$C$185,3,0))</f>
        <v>MI50D</v>
      </c>
      <c r="E1450" s="238">
        <f>IF(ISNA(VLOOKUP(Tableau13[[#This Row],[Code]],'Code Véhicule'!$A$4:$D$185,4,0))," ",VLOOKUP(Tableau13[[#This Row],[Code]],'Code Véhicule'!$A$4:$D$185,4,0))</f>
        <v>0</v>
      </c>
      <c r="F1450" s="238"/>
      <c r="G1450" s="241" t="s">
        <v>525</v>
      </c>
      <c r="H1450" s="242" t="s">
        <v>1008</v>
      </c>
      <c r="I1450" s="243" t="s">
        <v>780</v>
      </c>
      <c r="J1450" s="244" t="s">
        <v>2686</v>
      </c>
      <c r="K1450" s="248" t="s">
        <v>2687</v>
      </c>
      <c r="L1450" s="40">
        <v>180</v>
      </c>
      <c r="M1450" s="40">
        <v>180</v>
      </c>
      <c r="N1450" s="245">
        <v>45574</v>
      </c>
      <c r="O1450" s="45"/>
      <c r="P1450" s="45"/>
      <c r="Q1450" s="238" t="e">
        <f>MONTH([1]!Tableau13[[#This Row],[Date début]])</f>
        <v>#REF!</v>
      </c>
      <c r="R1450" s="240" t="e">
        <f>YEAR([1]!Tableau13[[#This Row],[Date début]])</f>
        <v>#REF!</v>
      </c>
    </row>
    <row r="1451" spans="1:18" ht="30">
      <c r="A1451" s="237">
        <v>45574</v>
      </c>
      <c r="B1451" s="238">
        <v>436</v>
      </c>
      <c r="C1451" s="239" t="str">
        <f>IF(ISNA(VLOOKUP(Tableau13[[#This Row],[Code]],'Code Véhicule'!$A$4:$C$185,2,0)),"",VLOOKUP(Tableau13[[#This Row],[Code]],'Code Véhicule'!$A$4:$C$185,2,0))</f>
        <v>Camion</v>
      </c>
      <c r="D1451" s="240" t="str">
        <f>IF(ISNA(VLOOKUP(Tableau13[[#This Row],[Code]],'Code Véhicule'!$A$4:$C$185,3,0)),"",VLOOKUP(Tableau13[[#This Row],[Code]],'Code Véhicule'!$A$4:$C$185,3,0))</f>
        <v>Mitsubishi</v>
      </c>
      <c r="E1451" s="238" t="str">
        <f>IF(ISNA(VLOOKUP(Tableau13[[#This Row],[Code]],'Code Véhicule'!$A$4:$D$185,4,0))," ",VLOOKUP(Tableau13[[#This Row],[Code]],'Code Véhicule'!$A$4:$D$185,4,0))</f>
        <v>11470-A-73</v>
      </c>
      <c r="F1451" s="238"/>
      <c r="G1451" s="241" t="s">
        <v>2396</v>
      </c>
      <c r="H1451" s="242" t="s">
        <v>2688</v>
      </c>
      <c r="I1451" s="243" t="s">
        <v>780</v>
      </c>
      <c r="J1451" s="244" t="s">
        <v>2689</v>
      </c>
      <c r="K1451" s="248" t="s">
        <v>2690</v>
      </c>
      <c r="L1451" s="40">
        <v>360</v>
      </c>
      <c r="M1451" s="40">
        <v>360</v>
      </c>
      <c r="N1451" s="245">
        <v>45574</v>
      </c>
      <c r="O1451" s="45"/>
      <c r="P1451" s="45"/>
      <c r="Q1451" s="238" t="e">
        <f>MONTH([1]!Tableau13[[#This Row],[Date début]])</f>
        <v>#REF!</v>
      </c>
      <c r="R1451" s="240" t="e">
        <f>YEAR([1]!Tableau13[[#This Row],[Date début]])</f>
        <v>#REF!</v>
      </c>
    </row>
    <row r="1452" spans="1:18">
      <c r="A1452" s="237">
        <v>45575</v>
      </c>
      <c r="B1452" s="238">
        <v>471</v>
      </c>
      <c r="C1452" s="239" t="str">
        <f>IF(ISNA(VLOOKUP(Tableau13[[#This Row],[Code]],'Code Véhicule'!$A$4:$C$185,2,0)),"",VLOOKUP(Tableau13[[#This Row],[Code]],'Code Véhicule'!$A$4:$C$185,2,0))</f>
        <v>Bus de transport</v>
      </c>
      <c r="D1452" s="240" t="str">
        <f>IF(ISNA(VLOOKUP(Tableau13[[#This Row],[Code]],'Code Véhicule'!$A$4:$C$185,3,0)),"",VLOOKUP(Tableau13[[#This Row],[Code]],'Code Véhicule'!$A$4:$C$185,3,0))</f>
        <v xml:space="preserve">Hyundai County </v>
      </c>
      <c r="E1452" s="238" t="str">
        <f>IF(ISNA(VLOOKUP(Tableau13[[#This Row],[Code]],'Code Véhicule'!$A$4:$D$185,4,0))," ",VLOOKUP(Tableau13[[#This Row],[Code]],'Code Véhicule'!$A$4:$D$185,4,0))</f>
        <v>18516-A-73</v>
      </c>
      <c r="F1452" s="238"/>
      <c r="G1452" s="241" t="s">
        <v>2396</v>
      </c>
      <c r="H1452" s="242" t="s">
        <v>585</v>
      </c>
      <c r="I1452" s="243" t="s">
        <v>780</v>
      </c>
      <c r="J1452" s="244" t="s">
        <v>2691</v>
      </c>
      <c r="K1452" s="248" t="s">
        <v>2692</v>
      </c>
      <c r="L1452" s="40">
        <v>4320</v>
      </c>
      <c r="M1452" s="40">
        <v>5400</v>
      </c>
      <c r="N1452" s="245">
        <v>45585</v>
      </c>
      <c r="O1452" s="45"/>
      <c r="P1452" s="45"/>
      <c r="Q1452" s="238" t="e">
        <f>MONTH([1]!Tableau13[[#This Row],[Date début]])</f>
        <v>#REF!</v>
      </c>
      <c r="R1452" s="240" t="e">
        <f>YEAR([1]!Tableau13[[#This Row],[Date début]])</f>
        <v>#REF!</v>
      </c>
    </row>
    <row r="1453" spans="1:18" ht="30">
      <c r="A1453" s="237">
        <v>45577</v>
      </c>
      <c r="B1453" s="238">
        <v>410</v>
      </c>
      <c r="C1453" s="239" t="str">
        <f>IF(ISNA(VLOOKUP(Tableau13[[#This Row],[Code]],'Code Véhicule'!$A$4:$C$185,2,0)),"",VLOOKUP(Tableau13[[#This Row],[Code]],'Code Véhicule'!$A$4:$C$185,2,0))</f>
        <v>Semi remorque</v>
      </c>
      <c r="D1453" s="240" t="str">
        <f>IF(ISNA(VLOOKUP(Tableau13[[#This Row],[Code]],'Code Véhicule'!$A$4:$C$185,3,0)),"",VLOOKUP(Tableau13[[#This Row],[Code]],'Code Véhicule'!$A$4:$C$185,3,0))</f>
        <v>MAN</v>
      </c>
      <c r="E1453" s="238" t="str">
        <f>IF(ISNA(VLOOKUP(Tableau13[[#This Row],[Code]],'Code Véhicule'!$A$4:$D$185,4,0))," ",VLOOKUP(Tableau13[[#This Row],[Code]],'Code Véhicule'!$A$4:$D$185,4,0))</f>
        <v xml:space="preserve">28659-D-1 </v>
      </c>
      <c r="F1453" s="238"/>
      <c r="G1453" s="241" t="s">
        <v>2396</v>
      </c>
      <c r="H1453" s="242" t="s">
        <v>610</v>
      </c>
      <c r="I1453" s="243" t="s">
        <v>780</v>
      </c>
      <c r="J1453" s="244" t="s">
        <v>2693</v>
      </c>
      <c r="K1453" s="248" t="s">
        <v>2694</v>
      </c>
      <c r="L1453" s="40">
        <v>1620</v>
      </c>
      <c r="M1453" s="40">
        <v>2160</v>
      </c>
      <c r="N1453" s="245">
        <v>45581</v>
      </c>
      <c r="O1453" s="45"/>
      <c r="P1453" s="45"/>
      <c r="Q1453" s="238" t="e">
        <f>MONTH([1]!Tableau13[[#This Row],[Date début]])</f>
        <v>#REF!</v>
      </c>
      <c r="R1453" s="240" t="e">
        <f>YEAR([1]!Tableau13[[#This Row],[Date début]])</f>
        <v>#REF!</v>
      </c>
    </row>
    <row r="1454" spans="1:18">
      <c r="A1454" s="237">
        <v>45581</v>
      </c>
      <c r="B1454" s="238">
        <v>410</v>
      </c>
      <c r="C1454" s="239" t="str">
        <f>IF(ISNA(VLOOKUP(Tableau13[[#This Row],[Code]],'Code Véhicule'!$A$4:$C$185,2,0)),"",VLOOKUP(Tableau13[[#This Row],[Code]],'Code Véhicule'!$A$4:$C$185,2,0))</f>
        <v>Semi remorque</v>
      </c>
      <c r="D1454" s="240" t="str">
        <f>IF(ISNA(VLOOKUP(Tableau13[[#This Row],[Code]],'Code Véhicule'!$A$4:$C$185,3,0)),"",VLOOKUP(Tableau13[[#This Row],[Code]],'Code Véhicule'!$A$4:$C$185,3,0))</f>
        <v>MAN</v>
      </c>
      <c r="E1454" s="238" t="str">
        <f>IF(ISNA(VLOOKUP(Tableau13[[#This Row],[Code]],'Code Véhicule'!$A$4:$D$185,4,0))," ",VLOOKUP(Tableau13[[#This Row],[Code]],'Code Véhicule'!$A$4:$D$185,4,0))</f>
        <v xml:space="preserve">28659-D-1 </v>
      </c>
      <c r="F1454" s="238"/>
      <c r="G1454" s="241" t="s">
        <v>2396</v>
      </c>
      <c r="H1454" s="242" t="s">
        <v>2392</v>
      </c>
      <c r="I1454" s="243" t="s">
        <v>1511</v>
      </c>
      <c r="J1454" s="244" t="s">
        <v>2695</v>
      </c>
      <c r="K1454" s="248" t="s">
        <v>2696</v>
      </c>
      <c r="L1454" s="40">
        <v>30</v>
      </c>
      <c r="M1454" s="40">
        <v>30</v>
      </c>
      <c r="N1454" s="245">
        <v>45581</v>
      </c>
      <c r="O1454" s="45"/>
      <c r="P1454" s="45"/>
      <c r="Q1454" s="238" t="e">
        <f>MONTH([1]!Tableau13[[#This Row],[Date début]])</f>
        <v>#REF!</v>
      </c>
      <c r="R1454" s="240" t="e">
        <f>YEAR([1]!Tableau13[[#This Row],[Date début]])</f>
        <v>#REF!</v>
      </c>
    </row>
    <row r="1455" spans="1:18">
      <c r="A1455" s="237">
        <v>45584</v>
      </c>
      <c r="B1455" s="238">
        <v>403</v>
      </c>
      <c r="C1455" s="239" t="str">
        <f>IF(ISNA(VLOOKUP(Tableau13[[#This Row],[Code]],'Code Véhicule'!$A$4:$C$185,2,0)),"",VLOOKUP(Tableau13[[#This Row],[Code]],'Code Véhicule'!$A$4:$C$185,2,0))</f>
        <v>Camion</v>
      </c>
      <c r="D1455" s="240" t="str">
        <f>IF(ISNA(VLOOKUP(Tableau13[[#This Row],[Code]],'Code Véhicule'!$A$4:$C$185,3,0)),"",VLOOKUP(Tableau13[[#This Row],[Code]],'Code Véhicule'!$A$4:$C$185,3,0))</f>
        <v>MAN</v>
      </c>
      <c r="E1455" s="238" t="str">
        <f>IF(ISNA(VLOOKUP(Tableau13[[#This Row],[Code]],'Code Véhicule'!$A$4:$D$185,4,0))," ",VLOOKUP(Tableau13[[#This Row],[Code]],'Code Véhicule'!$A$4:$D$185,4,0))</f>
        <v>4790-B-8</v>
      </c>
      <c r="F1455" s="238"/>
      <c r="G1455" s="241" t="s">
        <v>2396</v>
      </c>
      <c r="H1455" s="242" t="s">
        <v>2519</v>
      </c>
      <c r="I1455" s="243" t="s">
        <v>304</v>
      </c>
      <c r="J1455" s="244" t="s">
        <v>2697</v>
      </c>
      <c r="K1455" s="248" t="s">
        <v>2698</v>
      </c>
      <c r="L1455" s="40">
        <v>540</v>
      </c>
      <c r="M1455" s="40">
        <v>540</v>
      </c>
      <c r="N1455" s="245">
        <v>45584</v>
      </c>
      <c r="O1455" s="45"/>
      <c r="P1455" s="45"/>
      <c r="Q1455" s="238" t="e">
        <f>MONTH([1]!Tableau13[[#This Row],[Date début]])</f>
        <v>#REF!</v>
      </c>
      <c r="R1455" s="240" t="e">
        <f>YEAR([1]!Tableau13[[#This Row],[Date début]])</f>
        <v>#REF!</v>
      </c>
    </row>
    <row r="1456" spans="1:18" ht="48" customHeight="1">
      <c r="A1456" s="237">
        <v>45587</v>
      </c>
      <c r="B1456" s="238">
        <v>481</v>
      </c>
      <c r="C1456" s="239" t="str">
        <f>IF(ISNA(VLOOKUP(Tableau13[[#This Row],[Code]],'Code Véhicule'!$A$4:$C$185,2,0)),"",VLOOKUP(Tableau13[[#This Row],[Code]],'Code Véhicule'!$A$4:$C$185,2,0))</f>
        <v>Camion</v>
      </c>
      <c r="D1456" s="240" t="str">
        <f>IF(ISNA(VLOOKUP(Tableau13[[#This Row],[Code]],'Code Véhicule'!$A$4:$C$185,3,0)),"",VLOOKUP(Tableau13[[#This Row],[Code]],'Code Véhicule'!$A$4:$C$185,3,0))</f>
        <v>VOLVO</v>
      </c>
      <c r="E1456" s="238" t="str">
        <f>IF(ISNA(VLOOKUP(Tableau13[[#This Row],[Code]],'Code Véhicule'!$A$4:$D$185,4,0))," ",VLOOKUP(Tableau13[[#This Row],[Code]],'Code Véhicule'!$A$4:$D$185,4,0))</f>
        <v>22300-A-73</v>
      </c>
      <c r="F1456" s="238"/>
      <c r="G1456" s="241" t="s">
        <v>2396</v>
      </c>
      <c r="H1456" s="242" t="s">
        <v>610</v>
      </c>
      <c r="I1456" s="243" t="s">
        <v>780</v>
      </c>
      <c r="J1456" s="244" t="s">
        <v>2705</v>
      </c>
      <c r="K1456" s="238">
        <v>1159</v>
      </c>
      <c r="L1456" s="40">
        <v>2160</v>
      </c>
      <c r="M1456" s="40">
        <v>3240</v>
      </c>
      <c r="N1456" s="245">
        <v>45593</v>
      </c>
      <c r="O1456" s="45"/>
      <c r="P1456" s="45"/>
      <c r="Q1456" s="238" t="e">
        <f>MONTH([1]!Tableau13[[#This Row],[Date début]])</f>
        <v>#REF!</v>
      </c>
      <c r="R1456" s="240" t="e">
        <f>YEAR([1]!Tableau13[[#This Row],[Date début]])</f>
        <v>#REF!</v>
      </c>
    </row>
    <row r="1457" spans="1:18" ht="45">
      <c r="A1457" s="237">
        <v>45589</v>
      </c>
      <c r="B1457" s="238">
        <v>481</v>
      </c>
      <c r="C1457" s="239" t="str">
        <f>IF(ISNA(VLOOKUP(Tableau13[[#This Row],[Code]],'Code Véhicule'!$A$4:$C$185,2,0)),"",VLOOKUP(Tableau13[[#This Row],[Code]],'Code Véhicule'!$A$4:$C$185,2,0))</f>
        <v>Camion</v>
      </c>
      <c r="D1457" s="240" t="str">
        <f>IF(ISNA(VLOOKUP(Tableau13[[#This Row],[Code]],'Code Véhicule'!$A$4:$C$185,3,0)),"",VLOOKUP(Tableau13[[#This Row],[Code]],'Code Véhicule'!$A$4:$C$185,3,0))</f>
        <v>VOLVO</v>
      </c>
      <c r="E1457" s="238" t="str">
        <f>IF(ISNA(VLOOKUP(Tableau13[[#This Row],[Code]],'Code Véhicule'!$A$4:$D$185,4,0))," ",VLOOKUP(Tableau13[[#This Row],[Code]],'Code Véhicule'!$A$4:$D$185,4,0))</f>
        <v>22300-A-73</v>
      </c>
      <c r="F1457" s="238"/>
      <c r="G1457" s="241" t="s">
        <v>2396</v>
      </c>
      <c r="H1457" s="242" t="s">
        <v>2392</v>
      </c>
      <c r="I1457" s="243" t="s">
        <v>302</v>
      </c>
      <c r="J1457" s="244" t="s">
        <v>2699</v>
      </c>
      <c r="K1457" s="248" t="s">
        <v>2700</v>
      </c>
      <c r="L1457" s="40">
        <v>120</v>
      </c>
      <c r="M1457" s="40">
        <v>120</v>
      </c>
      <c r="N1457" s="245">
        <v>45589</v>
      </c>
      <c r="O1457" s="45"/>
      <c r="P1457" s="45"/>
      <c r="Q1457" s="238" t="e">
        <f>MONTH([1]!Tableau13[[#This Row],[Date début]])</f>
        <v>#REF!</v>
      </c>
      <c r="R1457" s="240" t="e">
        <f>YEAR([1]!Tableau13[[#This Row],[Date début]])</f>
        <v>#REF!</v>
      </c>
    </row>
    <row r="1458" spans="1:18">
      <c r="A1458" s="237">
        <v>45590</v>
      </c>
      <c r="B1458" s="238">
        <v>472</v>
      </c>
      <c r="C1458" s="239" t="str">
        <f>IF(ISNA(VLOOKUP(Tableau13[[#This Row],[Code]],'Code Véhicule'!$A$4:$C$185,2,0)),"",VLOOKUP(Tableau13[[#This Row],[Code]],'Code Véhicule'!$A$4:$C$185,2,0))</f>
        <v>Chariot elevateur</v>
      </c>
      <c r="D1458" s="240" t="str">
        <f>IF(ISNA(VLOOKUP(Tableau13[[#This Row],[Code]],'Code Véhicule'!$A$4:$C$185,3,0)),"",VLOOKUP(Tableau13[[#This Row],[Code]],'Code Véhicule'!$A$4:$C$185,3,0))</f>
        <v>Linde H25d</v>
      </c>
      <c r="E1458" s="238" t="str">
        <f>IF(ISNA(VLOOKUP(Tableau13[[#This Row],[Code]],'Code Véhicule'!$A$4:$D$185,4,0))," ",VLOOKUP(Tableau13[[#This Row],[Code]],'Code Véhicule'!$A$4:$D$185,4,0))</f>
        <v>-</v>
      </c>
      <c r="F1458" s="238"/>
      <c r="G1458" s="241" t="s">
        <v>2396</v>
      </c>
      <c r="H1458" s="242" t="s">
        <v>2392</v>
      </c>
      <c r="I1458" s="243" t="s">
        <v>302</v>
      </c>
      <c r="J1458" s="244" t="s">
        <v>2701</v>
      </c>
      <c r="K1458" s="248" t="s">
        <v>2702</v>
      </c>
      <c r="L1458" s="40">
        <v>30</v>
      </c>
      <c r="M1458" s="40">
        <v>30</v>
      </c>
      <c r="N1458" s="245">
        <v>45590</v>
      </c>
      <c r="O1458" s="45"/>
      <c r="P1458" s="45"/>
      <c r="Q1458" s="238" t="e">
        <f>MONTH([1]!Tableau13[[#This Row],[Date début]])</f>
        <v>#REF!</v>
      </c>
      <c r="R1458" s="240" t="e">
        <f>YEAR([1]!Tableau13[[#This Row],[Date début]])</f>
        <v>#REF!</v>
      </c>
    </row>
    <row r="1459" spans="1:18" ht="30">
      <c r="A1459" s="237">
        <v>45590</v>
      </c>
      <c r="B1459" s="238">
        <v>413</v>
      </c>
      <c r="C1459" s="239" t="str">
        <f>IF(ISNA(VLOOKUP(Tableau13[[#This Row],[Code]],'Code Véhicule'!$A$4:$C$185,2,0)),"",VLOOKUP(Tableau13[[#This Row],[Code]],'Code Véhicule'!$A$4:$C$185,2,0))</f>
        <v>Chargeur</v>
      </c>
      <c r="D1459" s="240" t="str">
        <f>IF(ISNA(VLOOKUP(Tableau13[[#This Row],[Code]],'Code Véhicule'!$A$4:$C$185,3,0)),"",VLOOKUP(Tableau13[[#This Row],[Code]],'Code Véhicule'!$A$4:$C$185,3,0))</f>
        <v>Caterpillar</v>
      </c>
      <c r="E1459" s="238" t="str">
        <f>IF(ISNA(VLOOKUP(Tableau13[[#This Row],[Code]],'Code Véhicule'!$A$4:$D$185,4,0))," ",VLOOKUP(Tableau13[[#This Row],[Code]],'Code Véhicule'!$A$4:$D$185,4,0))</f>
        <v>-</v>
      </c>
      <c r="F1459" s="238"/>
      <c r="G1459" s="241" t="s">
        <v>2396</v>
      </c>
      <c r="H1459" s="242" t="s">
        <v>537</v>
      </c>
      <c r="I1459" s="243" t="s">
        <v>780</v>
      </c>
      <c r="J1459" s="244" t="s">
        <v>2703</v>
      </c>
      <c r="K1459" s="248" t="s">
        <v>2704</v>
      </c>
      <c r="L1459" s="40">
        <v>1080</v>
      </c>
      <c r="M1459" s="40">
        <v>1620</v>
      </c>
      <c r="N1459" s="245">
        <v>45593</v>
      </c>
      <c r="O1459" s="45"/>
      <c r="P1459" s="45"/>
      <c r="Q1459" s="238" t="e">
        <f>MONTH([1]!Tableau13[[#This Row],[Date début]])</f>
        <v>#REF!</v>
      </c>
      <c r="R1459" s="240" t="e">
        <f>YEAR([1]!Tableau13[[#This Row],[Date début]])</f>
        <v>#REF!</v>
      </c>
    </row>
    <row r="1460" spans="1:18">
      <c r="A1460" s="237">
        <v>45591</v>
      </c>
      <c r="B1460" s="238">
        <v>431</v>
      </c>
      <c r="C1460" s="239" t="str">
        <f>IF(ISNA(VLOOKUP(Tableau13[[#This Row],[Code]],'Code Véhicule'!$A$4:$C$185,2,0)),"",VLOOKUP(Tableau13[[#This Row],[Code]],'Code Véhicule'!$A$4:$C$185,2,0))</f>
        <v>Chariot elevateur</v>
      </c>
      <c r="D1460" s="240" t="str">
        <f>IF(ISNA(VLOOKUP(Tableau13[[#This Row],[Code]],'Code Véhicule'!$A$4:$C$185,3,0)),"",VLOOKUP(Tableau13[[#This Row],[Code]],'Code Véhicule'!$A$4:$C$185,3,0))</f>
        <v>Manitou M26-2</v>
      </c>
      <c r="E1460" s="238" t="str">
        <f>IF(ISNA(VLOOKUP(Tableau13[[#This Row],[Code]],'Code Véhicule'!$A$4:$D$185,4,0))," ",VLOOKUP(Tableau13[[#This Row],[Code]],'Code Véhicule'!$A$4:$D$185,4,0))</f>
        <v>-</v>
      </c>
      <c r="F1460" s="238"/>
      <c r="G1460" s="241" t="s">
        <v>2396</v>
      </c>
      <c r="H1460" s="242" t="s">
        <v>2706</v>
      </c>
      <c r="I1460" s="243" t="s">
        <v>302</v>
      </c>
      <c r="J1460" s="244" t="s">
        <v>2707</v>
      </c>
      <c r="K1460" s="248" t="s">
        <v>2708</v>
      </c>
      <c r="L1460" s="40">
        <v>60</v>
      </c>
      <c r="M1460" s="40">
        <v>60</v>
      </c>
      <c r="N1460" s="245">
        <v>45591</v>
      </c>
      <c r="O1460" s="45"/>
      <c r="P1460" s="45"/>
      <c r="Q1460" s="238" t="e">
        <f>MONTH([1]!Tableau13[[#This Row],[Date début]])</f>
        <v>#REF!</v>
      </c>
      <c r="R1460" s="240" t="e">
        <f>YEAR([1]!Tableau13[[#This Row],[Date début]])</f>
        <v>#REF!</v>
      </c>
    </row>
    <row r="1461" spans="1:18">
      <c r="A1461" s="237">
        <v>45593</v>
      </c>
      <c r="B1461" s="238">
        <v>401</v>
      </c>
      <c r="C1461" s="239" t="str">
        <f>IF(ISNA(VLOOKUP(Tableau13[[#This Row],[Code]],'Code Véhicule'!$A$4:$C$185,2,0)),"",VLOOKUP(Tableau13[[#This Row],[Code]],'Code Véhicule'!$A$4:$C$185,2,0))</f>
        <v>Camion</v>
      </c>
      <c r="D1461" s="240" t="str">
        <f>IF(ISNA(VLOOKUP(Tableau13[[#This Row],[Code]],'Code Véhicule'!$A$4:$C$185,3,0)),"",VLOOKUP(Tableau13[[#This Row],[Code]],'Code Véhicule'!$A$4:$C$185,3,0))</f>
        <v>ISUZU</v>
      </c>
      <c r="E1461" s="238" t="str">
        <f>IF(ISNA(VLOOKUP(Tableau13[[#This Row],[Code]],'Code Véhicule'!$A$4:$D$185,4,0))," ",VLOOKUP(Tableau13[[#This Row],[Code]],'Code Véhicule'!$A$4:$D$185,4,0))</f>
        <v>26128-A-8</v>
      </c>
      <c r="F1461" s="238"/>
      <c r="G1461" s="241" t="s">
        <v>2396</v>
      </c>
      <c r="H1461" s="242" t="s">
        <v>560</v>
      </c>
      <c r="I1461" s="243" t="s">
        <v>780</v>
      </c>
      <c r="J1461" s="244" t="s">
        <v>2545</v>
      </c>
      <c r="K1461" s="248" t="s">
        <v>2709</v>
      </c>
      <c r="L1461" s="40">
        <v>540</v>
      </c>
      <c r="M1461" s="40">
        <v>540</v>
      </c>
      <c r="N1461" s="245">
        <v>45593</v>
      </c>
      <c r="O1461" s="45"/>
      <c r="P1461" s="45"/>
      <c r="Q1461" s="238" t="e">
        <f>MONTH([1]!Tableau13[[#This Row],[Date début]])</f>
        <v>#REF!</v>
      </c>
      <c r="R1461" s="240" t="e">
        <f>YEAR([1]!Tableau13[[#This Row],[Date début]])</f>
        <v>#REF!</v>
      </c>
    </row>
    <row r="1462" spans="1:18" ht="60">
      <c r="A1462" s="237">
        <v>45595</v>
      </c>
      <c r="B1462" s="238">
        <v>410</v>
      </c>
      <c r="C1462" s="239" t="str">
        <f>IF(ISNA(VLOOKUP(Tableau13[[#This Row],[Code]],'Code Véhicule'!$A$4:$C$185,2,0)),"",VLOOKUP(Tableau13[[#This Row],[Code]],'Code Véhicule'!$A$4:$C$185,2,0))</f>
        <v>Semi remorque</v>
      </c>
      <c r="D1462" s="240" t="str">
        <f>IF(ISNA(VLOOKUP(Tableau13[[#This Row],[Code]],'Code Véhicule'!$A$4:$C$185,3,0)),"",VLOOKUP(Tableau13[[#This Row],[Code]],'Code Véhicule'!$A$4:$C$185,3,0))</f>
        <v>MAN</v>
      </c>
      <c r="E1462" s="238" t="str">
        <f>IF(ISNA(VLOOKUP(Tableau13[[#This Row],[Code]],'Code Véhicule'!$A$4:$D$185,4,0))," ",VLOOKUP(Tableau13[[#This Row],[Code]],'Code Véhicule'!$A$4:$D$185,4,0))</f>
        <v xml:space="preserve">28659-D-1 </v>
      </c>
      <c r="F1462" s="238"/>
      <c r="G1462" s="241" t="s">
        <v>2396</v>
      </c>
      <c r="H1462" s="242" t="s">
        <v>2392</v>
      </c>
      <c r="I1462" s="243" t="s">
        <v>302</v>
      </c>
      <c r="J1462" s="244" t="s">
        <v>2498</v>
      </c>
      <c r="K1462" s="248" t="s">
        <v>2710</v>
      </c>
      <c r="L1462" s="40">
        <v>120</v>
      </c>
      <c r="M1462" s="40">
        <v>120</v>
      </c>
      <c r="N1462" s="245">
        <v>45595</v>
      </c>
      <c r="O1462" s="45"/>
      <c r="P1462" s="45"/>
      <c r="Q1462" s="238" t="e">
        <f>MONTH([1]!Tableau13[[#This Row],[Date début]])</f>
        <v>#REF!</v>
      </c>
      <c r="R1462" s="240" t="e">
        <f>YEAR([1]!Tableau13[[#This Row],[Date début]])</f>
        <v>#REF!</v>
      </c>
    </row>
    <row r="1463" spans="1:18">
      <c r="A1463" s="237">
        <v>45595</v>
      </c>
      <c r="B1463" s="238">
        <v>471</v>
      </c>
      <c r="C1463" s="239" t="str">
        <f>IF(ISNA(VLOOKUP(Tableau13[[#This Row],[Code]],'Code Véhicule'!$A$4:$C$185,2,0)),"",VLOOKUP(Tableau13[[#This Row],[Code]],'Code Véhicule'!$A$4:$C$185,2,0))</f>
        <v>Bus de transport</v>
      </c>
      <c r="D1463" s="240" t="str">
        <f>IF(ISNA(VLOOKUP(Tableau13[[#This Row],[Code]],'Code Véhicule'!$A$4:$C$185,3,0)),"",VLOOKUP(Tableau13[[#This Row],[Code]],'Code Véhicule'!$A$4:$C$185,3,0))</f>
        <v xml:space="preserve">Hyundai County </v>
      </c>
      <c r="E1463" s="238" t="str">
        <f>IF(ISNA(VLOOKUP(Tableau13[[#This Row],[Code]],'Code Véhicule'!$A$4:$D$185,4,0))," ",VLOOKUP(Tableau13[[#This Row],[Code]],'Code Véhicule'!$A$4:$D$185,4,0))</f>
        <v>18516-A-73</v>
      </c>
      <c r="F1463" s="238"/>
      <c r="G1463" s="241" t="s">
        <v>2396</v>
      </c>
      <c r="H1463" s="242" t="s">
        <v>560</v>
      </c>
      <c r="I1463" s="243" t="s">
        <v>304</v>
      </c>
      <c r="J1463" s="244" t="s">
        <v>2506</v>
      </c>
      <c r="K1463" s="248" t="s">
        <v>2711</v>
      </c>
      <c r="L1463" s="40">
        <v>120</v>
      </c>
      <c r="M1463" s="40">
        <v>120</v>
      </c>
      <c r="N1463" s="245">
        <v>45595</v>
      </c>
      <c r="O1463" s="45"/>
      <c r="P1463" s="45"/>
      <c r="Q1463" s="238" t="e">
        <f>MONTH([1]!Tableau13[[#This Row],[Date début]])</f>
        <v>#REF!</v>
      </c>
      <c r="R1463" s="240" t="e">
        <f>YEAR([1]!Tableau13[[#This Row],[Date début]])</f>
        <v>#REF!</v>
      </c>
    </row>
    <row r="1464" spans="1:18" ht="45">
      <c r="A1464" s="237">
        <v>45595</v>
      </c>
      <c r="B1464" s="238">
        <v>408</v>
      </c>
      <c r="C1464" s="239" t="str">
        <f>IF(ISNA(VLOOKUP(Tableau13[[#This Row],[Code]],'Code Véhicule'!$A$4:$C$185,2,0)),"",VLOOKUP(Tableau13[[#This Row],[Code]],'Code Véhicule'!$A$4:$C$185,2,0))</f>
        <v>Camion</v>
      </c>
      <c r="D1464" s="240" t="str">
        <f>IF(ISNA(VLOOKUP(Tableau13[[#This Row],[Code]],'Code Véhicule'!$A$4:$C$185,3,0)),"",VLOOKUP(Tableau13[[#This Row],[Code]],'Code Véhicule'!$A$4:$C$185,3,0))</f>
        <v>Mitsubishi</v>
      </c>
      <c r="E1464" s="238" t="str">
        <f>IF(ISNA(VLOOKUP(Tableau13[[#This Row],[Code]],'Code Véhicule'!$A$4:$D$185,4,0))," ",VLOOKUP(Tableau13[[#This Row],[Code]],'Code Véhicule'!$A$4:$D$185,4,0))</f>
        <v>4703-A-73</v>
      </c>
      <c r="F1464" s="238"/>
      <c r="G1464" s="241" t="s">
        <v>2396</v>
      </c>
      <c r="H1464" s="242" t="s">
        <v>2186</v>
      </c>
      <c r="I1464" s="243" t="s">
        <v>302</v>
      </c>
      <c r="J1464" s="244" t="s">
        <v>2712</v>
      </c>
      <c r="K1464" s="248" t="s">
        <v>2713</v>
      </c>
      <c r="L1464" s="40">
        <v>120</v>
      </c>
      <c r="M1464" s="40">
        <v>120</v>
      </c>
      <c r="N1464" s="245">
        <v>45595</v>
      </c>
      <c r="O1464" s="45"/>
      <c r="P1464" s="45"/>
      <c r="Q1464" s="238" t="e">
        <f>MONTH([1]!Tableau13[[#This Row],[Date début]])</f>
        <v>#REF!</v>
      </c>
      <c r="R1464" s="240" t="e">
        <f>YEAR([1]!Tableau13[[#This Row],[Date début]])</f>
        <v>#REF!</v>
      </c>
    </row>
    <row r="1465" spans="1:18" ht="30">
      <c r="A1465" s="237">
        <v>45596</v>
      </c>
      <c r="B1465" s="238">
        <v>430</v>
      </c>
      <c r="C1465" s="239" t="str">
        <f>IF(ISNA(VLOOKUP(Tableau13[[#This Row],[Code]],'Code Véhicule'!$A$4:$C$185,2,0)),"",VLOOKUP(Tableau13[[#This Row],[Code]],'Code Véhicule'!$A$4:$C$185,2,0))</f>
        <v>Chariot elevateur</v>
      </c>
      <c r="D1465" s="240" t="str">
        <f>IF(ISNA(VLOOKUP(Tableau13[[#This Row],[Code]],'Code Véhicule'!$A$4:$C$185,3,0)),"",VLOOKUP(Tableau13[[#This Row],[Code]],'Code Véhicule'!$A$4:$C$185,3,0))</f>
        <v>Fenwick  H40</v>
      </c>
      <c r="E1465" s="238" t="str">
        <f>IF(ISNA(VLOOKUP(Tableau13[[#This Row],[Code]],'Code Véhicule'!$A$4:$D$185,4,0))," ",VLOOKUP(Tableau13[[#This Row],[Code]],'Code Véhicule'!$A$4:$D$185,4,0))</f>
        <v>-</v>
      </c>
      <c r="F1465" s="238"/>
      <c r="G1465" s="241" t="s">
        <v>2396</v>
      </c>
      <c r="H1465" s="242" t="s">
        <v>2409</v>
      </c>
      <c r="I1465" s="243" t="s">
        <v>780</v>
      </c>
      <c r="J1465" s="244" t="s">
        <v>2714</v>
      </c>
      <c r="K1465" s="248"/>
      <c r="L1465" s="40">
        <v>120</v>
      </c>
      <c r="M1465" s="40">
        <v>240</v>
      </c>
      <c r="N1465" s="245">
        <v>45596</v>
      </c>
      <c r="O1465" s="45"/>
      <c r="P1465" s="45"/>
      <c r="Q1465" s="238" t="e">
        <f>MONTH([1]!Tableau13[[#This Row],[Date début]])</f>
        <v>#REF!</v>
      </c>
      <c r="R1465" s="240" t="e">
        <f>YEAR([1]!Tableau13[[#This Row],[Date début]])</f>
        <v>#REF!</v>
      </c>
    </row>
    <row r="1466" spans="1:18" ht="45">
      <c r="A1466" s="237">
        <v>45596</v>
      </c>
      <c r="B1466" s="238">
        <v>410</v>
      </c>
      <c r="C1466" s="239" t="str">
        <f>IF(ISNA(VLOOKUP(Tableau13[[#This Row],[Code]],'Code Véhicule'!$A$4:$C$185,2,0)),"",VLOOKUP(Tableau13[[#This Row],[Code]],'Code Véhicule'!$A$4:$C$185,2,0))</f>
        <v>Semi remorque</v>
      </c>
      <c r="D1466" s="240" t="str">
        <f>IF(ISNA(VLOOKUP(Tableau13[[#This Row],[Code]],'Code Véhicule'!$A$4:$C$185,3,0)),"",VLOOKUP(Tableau13[[#This Row],[Code]],'Code Véhicule'!$A$4:$C$185,3,0))</f>
        <v>MAN</v>
      </c>
      <c r="E1466" s="238" t="str">
        <f>IF(ISNA(VLOOKUP(Tableau13[[#This Row],[Code]],'Code Véhicule'!$A$4:$D$185,4,0))," ",VLOOKUP(Tableau13[[#This Row],[Code]],'Code Véhicule'!$A$4:$D$185,4,0))</f>
        <v xml:space="preserve">28659-D-1 </v>
      </c>
      <c r="F1466" s="238"/>
      <c r="G1466" s="241" t="s">
        <v>2396</v>
      </c>
      <c r="H1466" s="242" t="s">
        <v>523</v>
      </c>
      <c r="I1466" s="243" t="s">
        <v>780</v>
      </c>
      <c r="J1466" s="244" t="s">
        <v>2715</v>
      </c>
      <c r="K1466" s="248"/>
      <c r="L1466" s="40">
        <v>540</v>
      </c>
      <c r="M1466" s="40">
        <v>1080</v>
      </c>
      <c r="N1466" s="245">
        <v>45597</v>
      </c>
      <c r="O1466" s="45"/>
      <c r="P1466" s="45"/>
      <c r="Q1466" s="238" t="e">
        <f>MONTH([1]!Tableau13[[#This Row],[Date début]])</f>
        <v>#REF!</v>
      </c>
      <c r="R1466" s="240" t="e">
        <f>YEAR([1]!Tableau13[[#This Row],[Date début]])</f>
        <v>#REF!</v>
      </c>
    </row>
    <row r="1467" spans="1:18">
      <c r="A1467" s="237">
        <v>45597</v>
      </c>
      <c r="B1467" s="238">
        <v>429</v>
      </c>
      <c r="C1467" s="239" t="str">
        <f>IF(ISNA(VLOOKUP(Tableau13[[#This Row],[Code]],'Code Véhicule'!$A$4:$C$185,2,0)),"",VLOOKUP(Tableau13[[#This Row],[Code]],'Code Véhicule'!$A$4:$C$185,2,0))</f>
        <v>Chariot elevateur</v>
      </c>
      <c r="D1467" s="240" t="str">
        <f>IF(ISNA(VLOOKUP(Tableau13[[#This Row],[Code]],'Code Véhicule'!$A$4:$C$185,3,0)),"",VLOOKUP(Tableau13[[#This Row],[Code]],'Code Véhicule'!$A$4:$C$185,3,0))</f>
        <v>Fenwick HD30</v>
      </c>
      <c r="E1467" s="238" t="str">
        <f>IF(ISNA(VLOOKUP(Tableau13[[#This Row],[Code]],'Code Véhicule'!$A$4:$D$185,4,0))," ",VLOOKUP(Tableau13[[#This Row],[Code]],'Code Véhicule'!$A$4:$D$185,4,0))</f>
        <v>-</v>
      </c>
      <c r="F1467" s="238"/>
      <c r="G1467" s="241" t="s">
        <v>525</v>
      </c>
      <c r="H1467" s="242" t="s">
        <v>2446</v>
      </c>
      <c r="I1467" s="243" t="s">
        <v>780</v>
      </c>
      <c r="J1467" s="244" t="s">
        <v>2716</v>
      </c>
      <c r="K1467" s="248" t="s">
        <v>2717</v>
      </c>
      <c r="L1467" s="40">
        <v>540</v>
      </c>
      <c r="M1467" s="40">
        <v>1620</v>
      </c>
      <c r="N1467" s="245">
        <v>45599</v>
      </c>
      <c r="O1467" s="45"/>
      <c r="P1467" s="45"/>
      <c r="Q1467" s="238" t="e">
        <f>MONTH([1]!Tableau13[[#This Row],[Date début]])</f>
        <v>#REF!</v>
      </c>
      <c r="R1467" s="240" t="e">
        <f>YEAR([1]!Tableau13[[#This Row],[Date début]])</f>
        <v>#REF!</v>
      </c>
    </row>
    <row r="1468" spans="1:18">
      <c r="A1468" s="237">
        <v>45597</v>
      </c>
      <c r="B1468" s="238">
        <v>430</v>
      </c>
      <c r="C1468" s="239" t="str">
        <f>IF(ISNA(VLOOKUP(Tableau13[[#This Row],[Code]],'Code Véhicule'!$A$4:$C$185,2,0)),"",VLOOKUP(Tableau13[[#This Row],[Code]],'Code Véhicule'!$A$4:$C$185,2,0))</f>
        <v>Chariot elevateur</v>
      </c>
      <c r="D1468" s="240" t="str">
        <f>IF(ISNA(VLOOKUP(Tableau13[[#This Row],[Code]],'Code Véhicule'!$A$4:$C$185,3,0)),"",VLOOKUP(Tableau13[[#This Row],[Code]],'Code Véhicule'!$A$4:$C$185,3,0))</f>
        <v>Fenwick  H40</v>
      </c>
      <c r="E1468" s="238" t="str">
        <f>IF(ISNA(VLOOKUP(Tableau13[[#This Row],[Code]],'Code Véhicule'!$A$4:$D$185,4,0))," ",VLOOKUP(Tableau13[[#This Row],[Code]],'Code Véhicule'!$A$4:$D$185,4,0))</f>
        <v>-</v>
      </c>
      <c r="F1468" s="238"/>
      <c r="G1468" s="241" t="s">
        <v>525</v>
      </c>
      <c r="H1468" s="242" t="s">
        <v>2446</v>
      </c>
      <c r="I1468" s="243" t="s">
        <v>780</v>
      </c>
      <c r="J1468" s="244" t="s">
        <v>2718</v>
      </c>
      <c r="K1468" s="248" t="s">
        <v>2719</v>
      </c>
      <c r="L1468" s="40">
        <v>540</v>
      </c>
      <c r="M1468" s="40">
        <v>540</v>
      </c>
      <c r="N1468" s="245">
        <v>45597</v>
      </c>
      <c r="O1468" s="45"/>
      <c r="P1468" s="45"/>
      <c r="Q1468" s="238" t="e">
        <f>MONTH([1]!Tableau13[[#This Row],[Date début]])</f>
        <v>#REF!</v>
      </c>
      <c r="R1468" s="240" t="e">
        <f>YEAR([1]!Tableau13[[#This Row],[Date début]])</f>
        <v>#REF!</v>
      </c>
    </row>
    <row r="1469" spans="1:18">
      <c r="A1469" s="237">
        <v>45600</v>
      </c>
      <c r="B1469" s="238">
        <v>439</v>
      </c>
      <c r="C1469" s="239" t="str">
        <f>IF(ISNA(VLOOKUP(Tableau13[[#This Row],[Code]],'Code Véhicule'!$A$4:$C$185,2,0)),"",VLOOKUP(Tableau13[[#This Row],[Code]],'Code Véhicule'!$A$4:$C$185,2,0))</f>
        <v>Semi remorque</v>
      </c>
      <c r="D1469" s="240" t="str">
        <f>IF(ISNA(VLOOKUP(Tableau13[[#This Row],[Code]],'Code Véhicule'!$A$4:$C$185,3,0)),"",VLOOKUP(Tableau13[[#This Row],[Code]],'Code Véhicule'!$A$4:$C$185,3,0))</f>
        <v>VOLVO</v>
      </c>
      <c r="E1469" s="238" t="str">
        <f>IF(ISNA(VLOOKUP(Tableau13[[#This Row],[Code]],'Code Véhicule'!$A$4:$D$185,4,0))," ",VLOOKUP(Tableau13[[#This Row],[Code]],'Code Véhicule'!$A$4:$D$185,4,0))</f>
        <v xml:space="preserve">17886-A-73 </v>
      </c>
      <c r="F1469" s="238"/>
      <c r="G1469" s="241" t="s">
        <v>525</v>
      </c>
      <c r="H1469" s="242" t="s">
        <v>560</v>
      </c>
      <c r="I1469" s="243" t="s">
        <v>304</v>
      </c>
      <c r="J1469" s="244" t="s">
        <v>2506</v>
      </c>
      <c r="K1469" s="248" t="s">
        <v>2720</v>
      </c>
      <c r="L1469" s="40">
        <v>240</v>
      </c>
      <c r="M1469" s="40">
        <v>240</v>
      </c>
      <c r="N1469" s="245">
        <v>45600</v>
      </c>
      <c r="O1469" s="45"/>
      <c r="P1469" s="45"/>
      <c r="Q1469" s="238" t="e">
        <f>MONTH([1]!Tableau13[[#This Row],[Date début]])</f>
        <v>#REF!</v>
      </c>
      <c r="R1469" s="240" t="e">
        <f>YEAR([1]!Tableau13[[#This Row],[Date début]])</f>
        <v>#REF!</v>
      </c>
    </row>
    <row r="1470" spans="1:18">
      <c r="A1470" s="237">
        <v>45604</v>
      </c>
      <c r="B1470" s="238">
        <v>429</v>
      </c>
      <c r="C1470" s="239" t="str">
        <f>IF(ISNA(VLOOKUP(Tableau13[[#This Row],[Code]],'Code Véhicule'!$A$4:$C$185,2,0)),"",VLOOKUP(Tableau13[[#This Row],[Code]],'Code Véhicule'!$A$4:$C$185,2,0))</f>
        <v>Chariot elevateur</v>
      </c>
      <c r="D1470" s="240" t="str">
        <f>IF(ISNA(VLOOKUP(Tableau13[[#This Row],[Code]],'Code Véhicule'!$A$4:$C$185,3,0)),"",VLOOKUP(Tableau13[[#This Row],[Code]],'Code Véhicule'!$A$4:$C$185,3,0))</f>
        <v>Fenwick HD30</v>
      </c>
      <c r="E1470" s="238" t="str">
        <f>IF(ISNA(VLOOKUP(Tableau13[[#This Row],[Code]],'Code Véhicule'!$A$4:$D$185,4,0))," ",VLOOKUP(Tableau13[[#This Row],[Code]],'Code Véhicule'!$A$4:$D$185,4,0))</f>
        <v>-</v>
      </c>
      <c r="F1470" s="238"/>
      <c r="G1470" s="241" t="s">
        <v>525</v>
      </c>
      <c r="H1470" s="242" t="s">
        <v>2446</v>
      </c>
      <c r="I1470" s="243" t="s">
        <v>304</v>
      </c>
      <c r="J1470" s="244" t="s">
        <v>2721</v>
      </c>
      <c r="K1470" s="248" t="s">
        <v>2722</v>
      </c>
      <c r="L1470" s="40">
        <v>240</v>
      </c>
      <c r="M1470" s="40">
        <v>540</v>
      </c>
      <c r="N1470" s="245">
        <v>45604</v>
      </c>
      <c r="O1470" s="45"/>
      <c r="P1470" s="45"/>
      <c r="Q1470" s="238" t="e">
        <f>MONTH([1]!Tableau13[[#This Row],[Date début]])</f>
        <v>#REF!</v>
      </c>
      <c r="R1470" s="240" t="e">
        <f>YEAR([1]!Tableau13[[#This Row],[Date début]])</f>
        <v>#REF!</v>
      </c>
    </row>
    <row r="1471" spans="1:18" ht="30">
      <c r="A1471" s="237">
        <v>45605</v>
      </c>
      <c r="B1471" s="238">
        <v>401</v>
      </c>
      <c r="C1471" s="239" t="str">
        <f>IF(ISNA(VLOOKUP(Tableau13[[#This Row],[Code]],'Code Véhicule'!$A$4:$C$185,2,0)),"",VLOOKUP(Tableau13[[#This Row],[Code]],'Code Véhicule'!$A$4:$C$185,2,0))</f>
        <v>Camion</v>
      </c>
      <c r="D1471" s="240" t="str">
        <f>IF(ISNA(VLOOKUP(Tableau13[[#This Row],[Code]],'Code Véhicule'!$A$4:$C$185,3,0)),"",VLOOKUP(Tableau13[[#This Row],[Code]],'Code Véhicule'!$A$4:$C$185,3,0))</f>
        <v>ISUZU</v>
      </c>
      <c r="E1471" s="238" t="str">
        <f>IF(ISNA(VLOOKUP(Tableau13[[#This Row],[Code]],'Code Véhicule'!$A$4:$D$185,4,0))," ",VLOOKUP(Tableau13[[#This Row],[Code]],'Code Véhicule'!$A$4:$D$185,4,0))</f>
        <v>26128-A-8</v>
      </c>
      <c r="F1471" s="238"/>
      <c r="G1471" s="241" t="s">
        <v>2396</v>
      </c>
      <c r="H1471" s="242" t="s">
        <v>313</v>
      </c>
      <c r="I1471" s="243" t="s">
        <v>304</v>
      </c>
      <c r="J1471" s="244" t="s">
        <v>2723</v>
      </c>
      <c r="K1471" s="248" t="s">
        <v>2724</v>
      </c>
      <c r="L1471" s="40">
        <v>2700</v>
      </c>
      <c r="M1471" s="40">
        <v>5400</v>
      </c>
      <c r="N1471" s="245">
        <v>45616</v>
      </c>
      <c r="O1471" s="45"/>
      <c r="P1471" s="45"/>
      <c r="Q1471" s="238" t="e">
        <f>MONTH([1]!Tableau13[[#This Row],[Date début]])</f>
        <v>#REF!</v>
      </c>
      <c r="R1471" s="240" t="e">
        <f>YEAR([1]!Tableau13[[#This Row],[Date début]])</f>
        <v>#REF!</v>
      </c>
    </row>
    <row r="1472" spans="1:18">
      <c r="A1472" s="237">
        <v>45615</v>
      </c>
      <c r="B1472" s="238">
        <v>471</v>
      </c>
      <c r="C1472" s="239" t="str">
        <f>IF(ISNA(VLOOKUP(Tableau13[[#This Row],[Code]],'Code Véhicule'!$A$4:$C$185,2,0)),"",VLOOKUP(Tableau13[[#This Row],[Code]],'Code Véhicule'!$A$4:$C$185,2,0))</f>
        <v>Bus de transport</v>
      </c>
      <c r="D1472" s="240" t="str">
        <f>IF(ISNA(VLOOKUP(Tableau13[[#This Row],[Code]],'Code Véhicule'!$A$4:$C$185,3,0)),"",VLOOKUP(Tableau13[[#This Row],[Code]],'Code Véhicule'!$A$4:$C$185,3,0))</f>
        <v xml:space="preserve">Hyundai County </v>
      </c>
      <c r="E1472" s="238" t="str">
        <f>IF(ISNA(VLOOKUP(Tableau13[[#This Row],[Code]],'Code Véhicule'!$A$4:$D$185,4,0))," ",VLOOKUP(Tableau13[[#This Row],[Code]],'Code Véhicule'!$A$4:$D$185,4,0))</f>
        <v>18516-A-73</v>
      </c>
      <c r="F1472" s="238"/>
      <c r="G1472" s="241" t="s">
        <v>2396</v>
      </c>
      <c r="H1472" s="242" t="s">
        <v>353</v>
      </c>
      <c r="I1472" s="243" t="s">
        <v>304</v>
      </c>
      <c r="J1472" s="244" t="s">
        <v>2725</v>
      </c>
      <c r="K1472" s="248" t="s">
        <v>2726</v>
      </c>
      <c r="L1472" s="40">
        <v>120</v>
      </c>
      <c r="M1472" s="40">
        <v>120</v>
      </c>
      <c r="N1472" s="245">
        <v>45615</v>
      </c>
      <c r="O1472" s="45"/>
      <c r="P1472" s="45"/>
      <c r="Q1472" s="238" t="e">
        <f>MONTH([1]!Tableau13[[#This Row],[Date début]])</f>
        <v>#REF!</v>
      </c>
      <c r="R1472" s="240" t="e">
        <f>YEAR([1]!Tableau13[[#This Row],[Date début]])</f>
        <v>#REF!</v>
      </c>
    </row>
    <row r="1473" spans="1:18">
      <c r="A1473" s="169"/>
      <c r="B1473" s="170"/>
      <c r="C1473" s="160"/>
      <c r="D1473" s="161"/>
      <c r="E1473" s="159"/>
      <c r="F1473" s="170"/>
      <c r="G1473" s="162"/>
      <c r="H1473" s="172"/>
      <c r="I1473" s="173"/>
      <c r="J1473" s="174"/>
      <c r="K1473" s="170"/>
      <c r="L1473" s="166"/>
      <c r="M1473" s="166"/>
      <c r="N1473" s="175"/>
      <c r="O1473" s="168"/>
      <c r="P1473" s="168"/>
      <c r="Q1473" s="170"/>
      <c r="R1473" s="171"/>
    </row>
    <row r="1474" spans="1:18">
      <c r="A1474" s="169"/>
      <c r="B1474" s="170"/>
      <c r="C1474" s="160"/>
      <c r="D1474" s="161"/>
      <c r="E1474" s="159"/>
      <c r="F1474" s="170"/>
      <c r="G1474" s="162"/>
      <c r="H1474" s="172"/>
      <c r="I1474" s="173"/>
      <c r="J1474" s="174"/>
      <c r="K1474" s="170"/>
      <c r="L1474" s="166"/>
      <c r="M1474" s="166"/>
      <c r="N1474" s="175"/>
      <c r="O1474" s="168"/>
      <c r="P1474" s="168"/>
      <c r="Q1474" s="170"/>
      <c r="R1474" s="171"/>
    </row>
    <row r="1475" spans="1:18">
      <c r="A1475" s="169"/>
      <c r="B1475" s="170"/>
      <c r="C1475" s="160"/>
      <c r="D1475" s="161"/>
      <c r="E1475" s="159"/>
      <c r="F1475" s="170"/>
      <c r="G1475" s="162"/>
      <c r="H1475" s="172"/>
      <c r="I1475" s="173"/>
      <c r="J1475" s="174"/>
      <c r="K1475" s="170"/>
      <c r="L1475" s="166"/>
      <c r="M1475" s="166"/>
      <c r="N1475" s="175"/>
      <c r="O1475" s="168"/>
      <c r="P1475" s="168"/>
      <c r="Q1475" s="170"/>
      <c r="R1475" s="171"/>
    </row>
    <row r="1476" spans="1:18">
      <c r="A1476" s="169"/>
      <c r="B1476" s="170"/>
      <c r="C1476" s="160"/>
      <c r="D1476" s="161"/>
      <c r="E1476" s="159"/>
      <c r="F1476" s="170"/>
      <c r="G1476" s="162"/>
      <c r="H1476" s="172"/>
      <c r="I1476" s="173"/>
      <c r="J1476" s="174"/>
      <c r="K1476" s="170"/>
      <c r="L1476" s="166"/>
      <c r="M1476" s="166"/>
      <c r="N1476" s="175"/>
      <c r="O1476" s="168"/>
      <c r="P1476" s="168"/>
      <c r="Q1476" s="170"/>
      <c r="R1476" s="171"/>
    </row>
    <row r="1477" spans="1:18">
      <c r="A1477" s="169"/>
      <c r="B1477" s="170"/>
      <c r="C1477" s="160"/>
      <c r="D1477" s="161"/>
      <c r="E1477" s="159"/>
      <c r="F1477" s="170"/>
      <c r="G1477" s="162"/>
      <c r="H1477" s="172"/>
      <c r="I1477" s="173"/>
      <c r="J1477" s="174"/>
      <c r="K1477" s="170"/>
      <c r="L1477" s="166"/>
      <c r="M1477" s="166"/>
      <c r="N1477" s="175"/>
      <c r="O1477" s="168"/>
      <c r="P1477" s="168"/>
      <c r="Q1477" s="170"/>
      <c r="R1477" s="171"/>
    </row>
    <row r="1478" spans="1:18">
      <c r="A1478" s="169"/>
      <c r="B1478" s="170"/>
      <c r="C1478" s="160"/>
      <c r="D1478" s="161"/>
      <c r="E1478" s="159"/>
      <c r="F1478" s="170"/>
      <c r="G1478" s="162"/>
      <c r="H1478" s="172"/>
      <c r="I1478" s="173"/>
      <c r="J1478" s="174"/>
      <c r="K1478" s="170"/>
      <c r="L1478" s="166"/>
      <c r="M1478" s="166"/>
      <c r="N1478" s="175"/>
      <c r="O1478" s="52"/>
      <c r="P1478" s="52"/>
    </row>
    <row r="1479" spans="1:18">
      <c r="A1479" s="169"/>
      <c r="B1479" s="170"/>
      <c r="C1479" s="160"/>
      <c r="D1479" s="161"/>
      <c r="E1479" s="159"/>
      <c r="F1479" s="170"/>
      <c r="G1479" s="162"/>
      <c r="H1479" s="172"/>
      <c r="I1479" s="173"/>
      <c r="J1479" s="174"/>
      <c r="K1479" s="170"/>
      <c r="L1479" s="166"/>
      <c r="M1479" s="166"/>
      <c r="N1479" s="175"/>
      <c r="O1479" s="52"/>
      <c r="P1479" s="52"/>
    </row>
    <row r="1480" spans="1:18">
      <c r="A1480" s="169"/>
      <c r="B1480" s="170"/>
      <c r="C1480" s="160"/>
      <c r="D1480" s="161"/>
      <c r="E1480" s="159"/>
      <c r="F1480" s="170"/>
      <c r="G1480" s="162"/>
      <c r="H1480" s="172"/>
      <c r="I1480" s="173"/>
      <c r="J1480" s="174"/>
      <c r="K1480" s="170"/>
      <c r="L1480" s="166"/>
      <c r="M1480" s="166"/>
      <c r="N1480" s="175"/>
      <c r="O1480" s="52"/>
      <c r="P1480" s="52"/>
    </row>
    <row r="1481" spans="1:18">
      <c r="A1481" s="169"/>
      <c r="B1481" s="170"/>
      <c r="C1481" s="160"/>
      <c r="D1481" s="161"/>
      <c r="E1481" s="159"/>
      <c r="F1481" s="170"/>
      <c r="G1481" s="162"/>
      <c r="H1481" s="172"/>
      <c r="I1481" s="173"/>
      <c r="J1481" s="174"/>
      <c r="K1481" s="170"/>
      <c r="L1481" s="166"/>
      <c r="M1481" s="166"/>
      <c r="N1481" s="175"/>
      <c r="O1481" s="52"/>
      <c r="P1481" s="52"/>
    </row>
    <row r="1482" spans="1:18">
      <c r="A1482" s="169"/>
      <c r="B1482" s="170"/>
      <c r="C1482" s="160"/>
      <c r="D1482" s="161"/>
      <c r="E1482" s="159"/>
      <c r="F1482" s="170"/>
      <c r="G1482" s="162"/>
      <c r="H1482" s="172"/>
      <c r="I1482" s="173"/>
      <c r="J1482" s="174"/>
      <c r="K1482" s="170"/>
      <c r="L1482" s="166"/>
      <c r="M1482" s="166"/>
      <c r="N1482" s="175"/>
      <c r="O1482" s="52"/>
      <c r="P1482" s="52"/>
    </row>
    <row r="1483" spans="1:18">
      <c r="A1483" s="169"/>
      <c r="B1483" s="170"/>
      <c r="C1483" s="160"/>
      <c r="D1483" s="161"/>
      <c r="E1483" s="159"/>
      <c r="F1483" s="170"/>
      <c r="G1483" s="162"/>
      <c r="H1483" s="172"/>
      <c r="I1483" s="173"/>
      <c r="J1483" s="174"/>
      <c r="K1483" s="170"/>
      <c r="L1483" s="166"/>
      <c r="M1483" s="166"/>
      <c r="N1483" s="175"/>
      <c r="O1483" s="52"/>
      <c r="P1483" s="52"/>
    </row>
    <row r="1484" spans="1:18">
      <c r="A1484" s="169"/>
      <c r="B1484" s="170"/>
      <c r="C1484" s="160"/>
      <c r="D1484" s="161"/>
      <c r="E1484" s="159"/>
      <c r="F1484" s="170"/>
      <c r="G1484" s="162"/>
      <c r="H1484" s="172"/>
      <c r="I1484" s="173"/>
      <c r="J1484" s="174"/>
      <c r="K1484" s="170"/>
      <c r="L1484" s="166"/>
      <c r="M1484" s="166"/>
      <c r="N1484" s="175"/>
      <c r="O1484" s="52"/>
      <c r="P1484" s="52"/>
    </row>
    <row r="1485" spans="1:18">
      <c r="A1485" s="169"/>
      <c r="B1485" s="170"/>
      <c r="C1485" s="160"/>
      <c r="D1485" s="161"/>
      <c r="E1485" s="159"/>
      <c r="F1485" s="170"/>
      <c r="G1485" s="162"/>
      <c r="H1485" s="172"/>
      <c r="I1485" s="173"/>
      <c r="J1485" s="174"/>
      <c r="K1485" s="170"/>
      <c r="L1485" s="166"/>
      <c r="M1485" s="166"/>
      <c r="N1485" s="175"/>
      <c r="O1485" s="52"/>
      <c r="P1485" s="52"/>
    </row>
    <row r="1486" spans="1:18">
      <c r="A1486" s="169"/>
      <c r="B1486" s="170"/>
      <c r="C1486" s="160"/>
      <c r="D1486" s="161"/>
      <c r="E1486" s="159"/>
      <c r="F1486" s="170"/>
      <c r="G1486" s="162"/>
      <c r="H1486" s="172"/>
      <c r="I1486" s="173"/>
      <c r="J1486" s="174"/>
      <c r="K1486" s="170"/>
      <c r="L1486" s="166"/>
      <c r="M1486" s="166"/>
      <c r="N1486" s="175"/>
      <c r="O1486" s="52"/>
      <c r="P1486" s="52"/>
    </row>
    <row r="1487" spans="1:18">
      <c r="A1487" s="169"/>
      <c r="B1487" s="170"/>
      <c r="C1487" s="160"/>
      <c r="D1487" s="161"/>
      <c r="E1487" s="159"/>
      <c r="F1487" s="170"/>
      <c r="G1487" s="162"/>
      <c r="H1487" s="172"/>
      <c r="I1487" s="173"/>
      <c r="J1487" s="174"/>
      <c r="K1487" s="170"/>
      <c r="L1487" s="166"/>
      <c r="M1487" s="166"/>
      <c r="N1487" s="175"/>
      <c r="O1487" s="52"/>
      <c r="P1487" s="52"/>
    </row>
    <row r="1488" spans="1:18">
      <c r="A1488" s="169"/>
      <c r="B1488" s="170"/>
      <c r="C1488" s="160"/>
      <c r="D1488" s="161"/>
      <c r="E1488" s="159"/>
      <c r="F1488" s="170"/>
      <c r="G1488" s="162"/>
      <c r="H1488" s="172"/>
      <c r="I1488" s="173"/>
      <c r="J1488" s="174"/>
      <c r="K1488" s="170"/>
      <c r="L1488" s="166"/>
      <c r="M1488" s="166"/>
      <c r="N1488" s="175"/>
      <c r="O1488" s="52"/>
      <c r="P1488" s="52"/>
    </row>
    <row r="1489" spans="1:16">
      <c r="A1489" s="169"/>
      <c r="B1489" s="170"/>
      <c r="C1489" s="160"/>
      <c r="D1489" s="161"/>
      <c r="E1489" s="159"/>
      <c r="F1489" s="170"/>
      <c r="G1489" s="162"/>
      <c r="H1489" s="172"/>
      <c r="I1489" s="173"/>
      <c r="J1489" s="174"/>
      <c r="K1489" s="170"/>
      <c r="L1489" s="166"/>
      <c r="M1489" s="166"/>
      <c r="N1489" s="175"/>
      <c r="O1489" s="52"/>
      <c r="P1489" s="52"/>
    </row>
    <row r="1490" spans="1:16">
      <c r="A1490" s="169"/>
      <c r="B1490" s="170"/>
      <c r="C1490" s="160"/>
      <c r="D1490" s="161"/>
      <c r="E1490" s="159"/>
      <c r="F1490" s="170"/>
      <c r="G1490" s="162"/>
      <c r="H1490" s="172"/>
      <c r="I1490" s="173"/>
      <c r="J1490" s="174"/>
      <c r="K1490" s="170"/>
      <c r="L1490" s="166"/>
      <c r="M1490" s="166"/>
      <c r="N1490" s="175"/>
      <c r="O1490" s="52"/>
      <c r="P1490" s="52"/>
    </row>
    <row r="1491" spans="1:16">
      <c r="A1491" s="169"/>
      <c r="B1491" s="170"/>
      <c r="C1491" s="160"/>
      <c r="D1491" s="161"/>
      <c r="E1491" s="159"/>
      <c r="F1491" s="170"/>
      <c r="G1491" s="162"/>
      <c r="H1491" s="172"/>
      <c r="I1491" s="173"/>
      <c r="J1491" s="174"/>
      <c r="K1491" s="170"/>
      <c r="L1491" s="166"/>
      <c r="M1491" s="166"/>
      <c r="N1491" s="175"/>
      <c r="O1491" s="52"/>
      <c r="P1491" s="52"/>
    </row>
    <row r="1492" spans="1:16">
      <c r="A1492" s="169"/>
      <c r="B1492" s="170"/>
      <c r="C1492" s="160"/>
      <c r="D1492" s="161"/>
      <c r="E1492" s="159"/>
      <c r="F1492" s="170"/>
      <c r="G1492" s="162"/>
      <c r="H1492" s="172"/>
      <c r="I1492" s="173"/>
      <c r="J1492" s="174"/>
      <c r="K1492" s="170"/>
      <c r="L1492" s="166"/>
      <c r="M1492" s="166"/>
      <c r="N1492" s="175"/>
      <c r="O1492" s="52"/>
      <c r="P1492" s="52"/>
    </row>
    <row r="1493" spans="1:16">
      <c r="A1493" s="169"/>
      <c r="B1493" s="170"/>
      <c r="C1493" s="160"/>
      <c r="D1493" s="161"/>
      <c r="E1493" s="159"/>
      <c r="F1493" s="170"/>
      <c r="G1493" s="162"/>
      <c r="H1493" s="172"/>
      <c r="I1493" s="173"/>
      <c r="J1493" s="174"/>
      <c r="K1493" s="170"/>
      <c r="L1493" s="166"/>
      <c r="M1493" s="166"/>
      <c r="N1493" s="175"/>
      <c r="O1493" s="52"/>
      <c r="P1493" s="52"/>
    </row>
    <row r="1494" spans="1:16">
      <c r="A1494" s="169"/>
      <c r="B1494" s="170"/>
      <c r="C1494" s="160"/>
      <c r="D1494" s="161"/>
      <c r="E1494" s="159"/>
      <c r="F1494" s="170"/>
      <c r="G1494" s="162"/>
      <c r="H1494" s="172"/>
      <c r="I1494" s="173"/>
      <c r="J1494" s="174"/>
      <c r="K1494" s="170"/>
      <c r="L1494" s="166"/>
      <c r="M1494" s="166"/>
      <c r="N1494" s="175"/>
      <c r="O1494" s="52"/>
      <c r="P1494" s="52"/>
    </row>
    <row r="1495" spans="1:16">
      <c r="A1495" s="169"/>
      <c r="B1495" s="170"/>
      <c r="C1495" s="160"/>
      <c r="D1495" s="161"/>
      <c r="E1495" s="159"/>
      <c r="F1495" s="170"/>
      <c r="G1495" s="162"/>
      <c r="H1495" s="172"/>
      <c r="I1495" s="173"/>
      <c r="J1495" s="174"/>
      <c r="K1495" s="170"/>
      <c r="L1495" s="166"/>
      <c r="M1495" s="166"/>
      <c r="N1495" s="175"/>
      <c r="O1495" s="52"/>
      <c r="P1495" s="52"/>
    </row>
    <row r="1496" spans="1:16">
      <c r="A1496" s="169"/>
      <c r="B1496" s="170"/>
      <c r="C1496" s="160"/>
      <c r="D1496" s="161"/>
      <c r="E1496" s="159"/>
      <c r="F1496" s="170"/>
      <c r="G1496" s="162"/>
      <c r="H1496" s="172"/>
      <c r="I1496" s="173"/>
      <c r="J1496" s="174"/>
      <c r="K1496" s="170"/>
      <c r="L1496" s="166"/>
      <c r="M1496" s="166"/>
      <c r="N1496" s="175"/>
      <c r="O1496" s="52"/>
      <c r="P1496" s="52"/>
    </row>
    <row r="1497" spans="1:16">
      <c r="A1497" s="169"/>
      <c r="B1497" s="170"/>
      <c r="C1497" s="160"/>
      <c r="D1497" s="161"/>
      <c r="E1497" s="159"/>
      <c r="F1497" s="170"/>
      <c r="G1497" s="162"/>
      <c r="H1497" s="172"/>
      <c r="I1497" s="173"/>
      <c r="J1497" s="174"/>
      <c r="K1497" s="170"/>
      <c r="L1497" s="166"/>
      <c r="M1497" s="166"/>
      <c r="N1497" s="175"/>
      <c r="O1497" s="52"/>
      <c r="P1497" s="52"/>
    </row>
    <row r="1498" spans="1:16">
      <c r="A1498" s="169"/>
      <c r="B1498" s="170"/>
      <c r="C1498" s="160"/>
      <c r="D1498" s="161"/>
      <c r="E1498" s="159"/>
      <c r="F1498" s="170"/>
      <c r="G1498" s="162"/>
      <c r="H1498" s="172"/>
      <c r="I1498" s="173"/>
      <c r="J1498" s="174"/>
      <c r="K1498" s="170"/>
      <c r="L1498" s="166"/>
      <c r="M1498" s="166"/>
      <c r="N1498" s="175"/>
      <c r="O1498" s="52"/>
      <c r="P1498" s="52"/>
    </row>
    <row r="1499" spans="1:16">
      <c r="A1499" s="169"/>
      <c r="B1499" s="170"/>
      <c r="C1499" s="160"/>
      <c r="D1499" s="161"/>
      <c r="E1499" s="159"/>
      <c r="F1499" s="170"/>
      <c r="G1499" s="162"/>
      <c r="H1499" s="172"/>
      <c r="I1499" s="173"/>
      <c r="J1499" s="174"/>
      <c r="K1499" s="170"/>
      <c r="L1499" s="166"/>
      <c r="M1499" s="166"/>
      <c r="N1499" s="175"/>
      <c r="O1499" s="52"/>
      <c r="P1499" s="52"/>
    </row>
    <row r="1500" spans="1:16">
      <c r="A1500" s="169"/>
      <c r="B1500" s="170"/>
      <c r="C1500" s="160"/>
      <c r="D1500" s="161"/>
      <c r="E1500" s="159"/>
      <c r="F1500" s="170"/>
      <c r="G1500" s="162"/>
      <c r="H1500" s="172"/>
      <c r="I1500" s="173"/>
      <c r="J1500" s="174"/>
      <c r="K1500" s="170"/>
      <c r="L1500" s="166"/>
      <c r="M1500" s="166"/>
      <c r="N1500" s="175"/>
      <c r="O1500" s="52"/>
      <c r="P1500" s="52"/>
    </row>
    <row r="1501" spans="1:16">
      <c r="A1501" s="169"/>
      <c r="B1501" s="170"/>
      <c r="C1501" s="160"/>
      <c r="D1501" s="161"/>
      <c r="E1501" s="159"/>
      <c r="F1501" s="170"/>
      <c r="G1501" s="162"/>
      <c r="H1501" s="172"/>
      <c r="I1501" s="173"/>
      <c r="J1501" s="174"/>
      <c r="K1501" s="170"/>
      <c r="L1501" s="166"/>
      <c r="M1501" s="166"/>
      <c r="N1501" s="175"/>
      <c r="O1501" s="52"/>
      <c r="P1501" s="52"/>
    </row>
    <row r="1502" spans="1:16">
      <c r="A1502" s="169"/>
      <c r="B1502" s="170"/>
      <c r="C1502" s="160"/>
      <c r="D1502" s="161"/>
      <c r="E1502" s="159"/>
      <c r="F1502" s="170"/>
      <c r="G1502" s="162"/>
      <c r="H1502" s="172"/>
      <c r="I1502" s="173"/>
      <c r="J1502" s="174"/>
      <c r="K1502" s="170"/>
      <c r="L1502" s="166"/>
      <c r="M1502" s="166"/>
      <c r="N1502" s="175"/>
      <c r="O1502" s="52"/>
      <c r="P1502" s="52"/>
    </row>
    <row r="1503" spans="1:16">
      <c r="A1503" s="54"/>
      <c r="B1503" s="53"/>
      <c r="C1503" s="55"/>
      <c r="D1503" s="52"/>
      <c r="E1503" s="52"/>
      <c r="F1503" s="52"/>
      <c r="G1503" s="52"/>
      <c r="H1503" s="52"/>
      <c r="I1503" s="53"/>
      <c r="J1503" s="56"/>
      <c r="K1503" s="53"/>
      <c r="L1503" s="57"/>
      <c r="M1503" s="57"/>
      <c r="N1503" s="53"/>
      <c r="O1503" s="52"/>
      <c r="P1503" s="52"/>
    </row>
    <row r="1504" spans="1:16">
      <c r="A1504" s="54"/>
      <c r="B1504" s="53"/>
      <c r="C1504" s="55"/>
      <c r="D1504" s="52"/>
      <c r="E1504" s="52"/>
      <c r="F1504" s="52"/>
      <c r="G1504" s="52"/>
      <c r="H1504" s="52"/>
      <c r="I1504" s="53"/>
      <c r="J1504" s="56"/>
      <c r="K1504" s="53"/>
      <c r="L1504" s="57"/>
      <c r="M1504" s="57"/>
      <c r="N1504" s="53"/>
      <c r="O1504" s="52"/>
      <c r="P1504" s="52"/>
    </row>
    <row r="1505" spans="1:16">
      <c r="A1505" s="54"/>
      <c r="B1505" s="53"/>
      <c r="C1505" s="55"/>
      <c r="D1505" s="52"/>
      <c r="E1505" s="52"/>
      <c r="F1505" s="52"/>
      <c r="G1505" s="52"/>
      <c r="H1505" s="52"/>
      <c r="I1505" s="53"/>
      <c r="J1505" s="56"/>
      <c r="K1505" s="53"/>
      <c r="L1505" s="57"/>
      <c r="M1505" s="57"/>
      <c r="N1505" s="53"/>
      <c r="O1505" s="52"/>
      <c r="P1505" s="52"/>
    </row>
    <row r="1506" spans="1:16">
      <c r="A1506" s="54"/>
      <c r="B1506" s="53"/>
      <c r="C1506" s="55"/>
      <c r="D1506" s="52"/>
      <c r="E1506" s="52"/>
      <c r="F1506" s="52"/>
      <c r="G1506" s="52"/>
      <c r="H1506" s="52"/>
      <c r="I1506" s="53"/>
      <c r="J1506" s="56"/>
      <c r="K1506" s="53"/>
      <c r="L1506" s="57"/>
      <c r="M1506" s="57"/>
      <c r="N1506" s="53"/>
      <c r="O1506" s="52"/>
      <c r="P1506" s="52"/>
    </row>
    <row r="1507" spans="1:16">
      <c r="A1507" s="54"/>
      <c r="B1507" s="53"/>
      <c r="C1507" s="55"/>
      <c r="D1507" s="52"/>
      <c r="E1507" s="52"/>
      <c r="F1507" s="52"/>
      <c r="G1507" s="52"/>
      <c r="H1507" s="52"/>
      <c r="I1507" s="53"/>
      <c r="J1507" s="56"/>
      <c r="K1507" s="53"/>
      <c r="L1507" s="57"/>
      <c r="M1507" s="57"/>
      <c r="N1507" s="53"/>
      <c r="O1507" s="52"/>
      <c r="P1507" s="52"/>
    </row>
    <row r="1508" spans="1:16">
      <c r="A1508" s="54"/>
      <c r="B1508" s="53"/>
      <c r="C1508" s="55"/>
      <c r="D1508" s="52"/>
      <c r="E1508" s="52"/>
      <c r="F1508" s="52"/>
      <c r="G1508" s="52"/>
      <c r="H1508" s="52"/>
      <c r="I1508" s="53"/>
      <c r="J1508" s="56"/>
      <c r="K1508" s="53"/>
      <c r="L1508" s="57"/>
      <c r="M1508" s="57"/>
      <c r="N1508" s="53"/>
      <c r="O1508" s="52"/>
      <c r="P1508" s="52"/>
    </row>
    <row r="1509" spans="1:16">
      <c r="A1509" s="54"/>
      <c r="B1509" s="53"/>
      <c r="C1509" s="55"/>
      <c r="D1509" s="52"/>
      <c r="E1509" s="52"/>
      <c r="F1509" s="52"/>
      <c r="G1509" s="52"/>
      <c r="H1509" s="52"/>
      <c r="I1509" s="53"/>
      <c r="J1509" s="56"/>
      <c r="K1509" s="53"/>
      <c r="L1509" s="57"/>
      <c r="M1509" s="57"/>
      <c r="N1509" s="53"/>
      <c r="O1509" s="52"/>
      <c r="P1509" s="52"/>
    </row>
    <row r="1510" spans="1:16">
      <c r="A1510" s="54"/>
      <c r="B1510" s="53"/>
      <c r="C1510" s="55"/>
      <c r="D1510" s="52"/>
      <c r="E1510" s="52"/>
      <c r="F1510" s="52"/>
      <c r="G1510" s="52"/>
      <c r="H1510" s="52"/>
      <c r="I1510" s="53"/>
      <c r="J1510" s="56"/>
      <c r="K1510" s="53"/>
      <c r="L1510" s="57"/>
      <c r="M1510" s="57"/>
      <c r="N1510" s="53"/>
      <c r="O1510" s="52"/>
      <c r="P1510" s="52"/>
    </row>
    <row r="1511" spans="1:16">
      <c r="A1511" s="54"/>
      <c r="B1511" s="53"/>
      <c r="C1511" s="55"/>
      <c r="D1511" s="52"/>
      <c r="E1511" s="52"/>
      <c r="F1511" s="52"/>
      <c r="G1511" s="52"/>
      <c r="H1511" s="52"/>
      <c r="I1511" s="53"/>
      <c r="J1511" s="56"/>
      <c r="K1511" s="53"/>
      <c r="L1511" s="57"/>
      <c r="M1511" s="57"/>
      <c r="N1511" s="53"/>
      <c r="O1511" s="52"/>
      <c r="P1511" s="52"/>
    </row>
    <row r="1512" spans="1:16">
      <c r="A1512" s="54"/>
      <c r="B1512" s="53"/>
      <c r="C1512" s="55"/>
      <c r="D1512" s="52"/>
      <c r="E1512" s="52"/>
      <c r="F1512" s="52"/>
      <c r="G1512" s="52"/>
      <c r="H1512" s="52"/>
      <c r="I1512" s="53"/>
      <c r="J1512" s="56"/>
      <c r="K1512" s="53"/>
      <c r="L1512" s="57"/>
      <c r="M1512" s="57"/>
      <c r="N1512" s="53"/>
      <c r="O1512" s="52"/>
      <c r="P1512" s="52"/>
    </row>
    <row r="1513" spans="1:16">
      <c r="A1513" s="54"/>
      <c r="B1513" s="53"/>
      <c r="C1513" s="55"/>
      <c r="D1513" s="52"/>
      <c r="E1513" s="52"/>
      <c r="F1513" s="52"/>
      <c r="G1513" s="52"/>
      <c r="H1513" s="52"/>
      <c r="I1513" s="53"/>
      <c r="J1513" s="56"/>
      <c r="K1513" s="53"/>
      <c r="L1513" s="57"/>
      <c r="M1513" s="57"/>
      <c r="N1513" s="53"/>
      <c r="O1513" s="52"/>
      <c r="P1513" s="52"/>
    </row>
    <row r="1514" spans="1:16">
      <c r="A1514" s="54"/>
      <c r="B1514" s="53"/>
      <c r="C1514" s="55"/>
      <c r="D1514" s="52"/>
      <c r="E1514" s="52"/>
      <c r="F1514" s="52"/>
      <c r="G1514" s="52"/>
      <c r="H1514" s="52"/>
      <c r="I1514" s="53"/>
      <c r="J1514" s="56"/>
      <c r="K1514" s="53"/>
      <c r="L1514" s="57"/>
      <c r="M1514" s="57"/>
      <c r="N1514" s="53"/>
      <c r="O1514" s="52"/>
      <c r="P1514" s="52"/>
    </row>
    <row r="1515" spans="1:16">
      <c r="A1515" s="54"/>
      <c r="B1515" s="53"/>
      <c r="C1515" s="55"/>
      <c r="D1515" s="52"/>
      <c r="E1515" s="52"/>
      <c r="F1515" s="52"/>
      <c r="G1515" s="52"/>
      <c r="H1515" s="52"/>
      <c r="I1515" s="53"/>
      <c r="J1515" s="56"/>
      <c r="K1515" s="53"/>
      <c r="L1515" s="57"/>
      <c r="M1515" s="57"/>
      <c r="N1515" s="53"/>
      <c r="O1515" s="52"/>
      <c r="P1515" s="52"/>
    </row>
    <row r="1516" spans="1:16">
      <c r="A1516" s="54"/>
      <c r="B1516" s="53"/>
      <c r="C1516" s="55"/>
      <c r="D1516" s="52"/>
      <c r="E1516" s="52"/>
      <c r="F1516" s="52"/>
      <c r="G1516" s="52"/>
      <c r="H1516" s="52"/>
      <c r="I1516" s="53"/>
      <c r="J1516" s="56"/>
      <c r="K1516" s="53"/>
      <c r="L1516" s="57"/>
      <c r="M1516" s="57"/>
      <c r="N1516" s="53"/>
      <c r="O1516" s="52"/>
      <c r="P1516" s="52"/>
    </row>
    <row r="1517" spans="1:16">
      <c r="A1517" s="54"/>
      <c r="B1517" s="53"/>
      <c r="C1517" s="55"/>
      <c r="D1517" s="52"/>
      <c r="E1517" s="52"/>
      <c r="F1517" s="52"/>
      <c r="G1517" s="52"/>
      <c r="H1517" s="52"/>
      <c r="I1517" s="53"/>
      <c r="J1517" s="56"/>
      <c r="K1517" s="53"/>
      <c r="L1517" s="57"/>
      <c r="M1517" s="57"/>
      <c r="N1517" s="53"/>
      <c r="O1517" s="52"/>
      <c r="P1517" s="52"/>
    </row>
    <row r="1518" spans="1:16">
      <c r="A1518" s="54"/>
      <c r="B1518" s="53"/>
      <c r="C1518" s="55"/>
      <c r="D1518" s="52"/>
      <c r="E1518" s="52"/>
      <c r="F1518" s="52"/>
      <c r="G1518" s="52"/>
      <c r="H1518" s="52"/>
      <c r="I1518" s="53"/>
      <c r="J1518" s="56"/>
      <c r="K1518" s="53"/>
      <c r="L1518" s="57"/>
      <c r="M1518" s="57"/>
      <c r="N1518" s="53"/>
      <c r="O1518" s="52"/>
      <c r="P1518" s="52"/>
    </row>
    <row r="1519" spans="1:16">
      <c r="A1519" s="54"/>
      <c r="B1519" s="53"/>
      <c r="C1519" s="55"/>
      <c r="D1519" s="52"/>
      <c r="E1519" s="52"/>
      <c r="F1519" s="52"/>
      <c r="G1519" s="52"/>
      <c r="H1519" s="52"/>
      <c r="I1519" s="53"/>
      <c r="J1519" s="56"/>
      <c r="K1519" s="53"/>
      <c r="L1519" s="57"/>
      <c r="M1519" s="57"/>
      <c r="N1519" s="53"/>
      <c r="O1519" s="52"/>
      <c r="P1519" s="52"/>
    </row>
    <row r="1520" spans="1:16">
      <c r="A1520" s="54"/>
      <c r="B1520" s="53"/>
      <c r="C1520" s="55"/>
      <c r="D1520" s="52"/>
      <c r="E1520" s="52"/>
      <c r="F1520" s="52"/>
      <c r="G1520" s="52"/>
      <c r="H1520" s="52"/>
      <c r="I1520" s="53"/>
      <c r="J1520" s="56"/>
      <c r="K1520" s="53"/>
      <c r="L1520" s="57"/>
      <c r="M1520" s="57"/>
      <c r="N1520" s="53"/>
      <c r="O1520" s="52"/>
      <c r="P1520" s="52"/>
    </row>
    <row r="1521" spans="1:16">
      <c r="A1521" s="54"/>
      <c r="B1521" s="53"/>
      <c r="C1521" s="55"/>
      <c r="D1521" s="52"/>
      <c r="E1521" s="52"/>
      <c r="F1521" s="52"/>
      <c r="G1521" s="52"/>
      <c r="H1521" s="52"/>
      <c r="I1521" s="53"/>
      <c r="J1521" s="56"/>
      <c r="K1521" s="53"/>
      <c r="L1521" s="57"/>
      <c r="M1521" s="57"/>
      <c r="N1521" s="53"/>
      <c r="O1521" s="52"/>
      <c r="P1521" s="52"/>
    </row>
    <row r="1522" spans="1:16">
      <c r="A1522" s="54"/>
      <c r="B1522" s="53"/>
      <c r="C1522" s="55"/>
      <c r="D1522" s="52"/>
      <c r="E1522" s="52"/>
      <c r="F1522" s="52"/>
      <c r="G1522" s="52"/>
      <c r="H1522" s="52"/>
      <c r="I1522" s="53"/>
      <c r="J1522" s="56"/>
      <c r="K1522" s="53"/>
      <c r="L1522" s="57"/>
      <c r="M1522" s="57"/>
      <c r="N1522" s="53"/>
      <c r="O1522" s="52"/>
      <c r="P1522" s="52"/>
    </row>
    <row r="1523" spans="1:16">
      <c r="A1523" s="54"/>
      <c r="B1523" s="53"/>
      <c r="C1523" s="55"/>
      <c r="D1523" s="52"/>
      <c r="E1523" s="52"/>
      <c r="F1523" s="52"/>
      <c r="G1523" s="52"/>
      <c r="H1523" s="52"/>
      <c r="I1523" s="53"/>
      <c r="J1523" s="56"/>
      <c r="K1523" s="53"/>
      <c r="L1523" s="57"/>
      <c r="M1523" s="57"/>
      <c r="N1523" s="53"/>
      <c r="O1523" s="52"/>
      <c r="P1523" s="52"/>
    </row>
    <row r="1524" spans="1:16">
      <c r="A1524" s="54"/>
      <c r="B1524" s="53"/>
      <c r="C1524" s="55"/>
      <c r="D1524" s="52"/>
      <c r="E1524" s="52"/>
      <c r="F1524" s="52"/>
      <c r="G1524" s="52"/>
      <c r="H1524" s="52"/>
      <c r="I1524" s="53"/>
      <c r="J1524" s="56"/>
      <c r="K1524" s="53"/>
      <c r="L1524" s="57"/>
      <c r="M1524" s="57"/>
      <c r="N1524" s="53"/>
      <c r="O1524" s="52"/>
      <c r="P1524" s="52"/>
    </row>
    <row r="1525" spans="1:16">
      <c r="A1525" s="54"/>
      <c r="B1525" s="53"/>
      <c r="C1525" s="55"/>
      <c r="D1525" s="52"/>
      <c r="E1525" s="52"/>
      <c r="F1525" s="52"/>
      <c r="G1525" s="52"/>
      <c r="H1525" s="52"/>
      <c r="I1525" s="53"/>
      <c r="J1525" s="56"/>
      <c r="K1525" s="53"/>
      <c r="L1525" s="57"/>
      <c r="M1525" s="57"/>
      <c r="N1525" s="53"/>
      <c r="O1525" s="52"/>
      <c r="P1525" s="52"/>
    </row>
    <row r="1526" spans="1:16">
      <c r="A1526" s="54"/>
      <c r="B1526" s="53"/>
      <c r="C1526" s="55"/>
      <c r="D1526" s="52"/>
      <c r="E1526" s="52"/>
      <c r="F1526" s="52"/>
      <c r="G1526" s="52"/>
      <c r="H1526" s="52"/>
      <c r="I1526" s="53"/>
      <c r="J1526" s="56"/>
      <c r="K1526" s="53"/>
      <c r="L1526" s="57"/>
      <c r="M1526" s="57"/>
      <c r="N1526" s="53"/>
      <c r="O1526" s="52"/>
      <c r="P1526" s="52"/>
    </row>
    <row r="1527" spans="1:16">
      <c r="A1527" s="54"/>
      <c r="B1527" s="53"/>
      <c r="C1527" s="55"/>
      <c r="D1527" s="52"/>
      <c r="E1527" s="52"/>
      <c r="F1527" s="52"/>
      <c r="G1527" s="52"/>
      <c r="H1527" s="52"/>
      <c r="I1527" s="53"/>
      <c r="J1527" s="56"/>
      <c r="K1527" s="53"/>
      <c r="L1527" s="57"/>
      <c r="M1527" s="57"/>
      <c r="N1527" s="53"/>
      <c r="O1527" s="52"/>
      <c r="P1527" s="52"/>
    </row>
    <row r="1528" spans="1:16">
      <c r="A1528" s="54"/>
      <c r="B1528" s="53"/>
      <c r="C1528" s="55"/>
      <c r="D1528" s="52"/>
      <c r="E1528" s="52"/>
      <c r="F1528" s="52"/>
      <c r="G1528" s="52"/>
      <c r="H1528" s="52"/>
      <c r="I1528" s="53"/>
      <c r="J1528" s="56"/>
      <c r="K1528" s="53"/>
      <c r="L1528" s="57"/>
      <c r="M1528" s="57"/>
      <c r="N1528" s="53"/>
      <c r="O1528" s="52"/>
      <c r="P1528" s="52"/>
    </row>
    <row r="1529" spans="1:16">
      <c r="A1529" s="54"/>
      <c r="B1529" s="53"/>
      <c r="C1529" s="55"/>
      <c r="D1529" s="52"/>
      <c r="E1529" s="52"/>
      <c r="F1529" s="52"/>
      <c r="G1529" s="52"/>
      <c r="H1529" s="52"/>
      <c r="I1529" s="53"/>
      <c r="J1529" s="56"/>
      <c r="K1529" s="53"/>
      <c r="L1529" s="57"/>
      <c r="M1529" s="57"/>
      <c r="N1529" s="53"/>
      <c r="O1529" s="52"/>
      <c r="P1529" s="52"/>
    </row>
    <row r="1530" spans="1:16">
      <c r="A1530" s="54"/>
      <c r="B1530" s="53"/>
      <c r="C1530" s="55"/>
      <c r="D1530" s="52"/>
      <c r="E1530" s="52"/>
      <c r="F1530" s="52"/>
      <c r="G1530" s="52"/>
      <c r="H1530" s="52"/>
      <c r="I1530" s="53"/>
      <c r="J1530" s="56"/>
      <c r="K1530" s="53"/>
      <c r="L1530" s="57"/>
      <c r="M1530" s="57"/>
      <c r="N1530" s="53"/>
      <c r="O1530" s="52"/>
      <c r="P1530" s="52"/>
    </row>
    <row r="1531" spans="1:16">
      <c r="A1531" s="54"/>
      <c r="B1531" s="53"/>
      <c r="C1531" s="55"/>
      <c r="D1531" s="52"/>
      <c r="E1531" s="52"/>
      <c r="F1531" s="52"/>
      <c r="G1531" s="52"/>
      <c r="H1531" s="52"/>
      <c r="I1531" s="53"/>
      <c r="J1531" s="56"/>
      <c r="K1531" s="53"/>
      <c r="L1531" s="57"/>
      <c r="M1531" s="57"/>
      <c r="N1531" s="53"/>
      <c r="O1531" s="52"/>
      <c r="P1531" s="52"/>
    </row>
    <row r="1532" spans="1:16">
      <c r="A1532" s="54"/>
      <c r="B1532" s="53"/>
      <c r="C1532" s="55"/>
      <c r="D1532" s="52"/>
      <c r="E1532" s="52"/>
      <c r="F1532" s="52"/>
      <c r="G1532" s="52"/>
      <c r="H1532" s="52"/>
      <c r="I1532" s="53"/>
      <c r="J1532" s="56"/>
      <c r="K1532" s="53"/>
      <c r="L1532" s="57"/>
      <c r="M1532" s="57"/>
      <c r="N1532" s="53"/>
      <c r="O1532" s="52"/>
      <c r="P1532" s="52"/>
    </row>
    <row r="1533" spans="1:16">
      <c r="A1533" s="54"/>
      <c r="B1533" s="53"/>
      <c r="C1533" s="55"/>
      <c r="D1533" s="52"/>
      <c r="E1533" s="52"/>
      <c r="F1533" s="52"/>
      <c r="G1533" s="52"/>
      <c r="H1533" s="52"/>
      <c r="I1533" s="53"/>
      <c r="J1533" s="56"/>
      <c r="K1533" s="53"/>
      <c r="L1533" s="57"/>
      <c r="M1533" s="57"/>
      <c r="N1533" s="53"/>
      <c r="O1533" s="52"/>
      <c r="P1533" s="52"/>
    </row>
    <row r="1534" spans="1:16">
      <c r="A1534" s="54"/>
      <c r="B1534" s="53"/>
      <c r="C1534" s="55"/>
      <c r="D1534" s="52"/>
      <c r="E1534" s="52"/>
      <c r="F1534" s="52"/>
      <c r="G1534" s="52"/>
      <c r="H1534" s="52"/>
      <c r="I1534" s="53"/>
      <c r="J1534" s="56"/>
      <c r="K1534" s="53"/>
      <c r="L1534" s="57"/>
      <c r="M1534" s="57"/>
      <c r="N1534" s="53"/>
      <c r="O1534" s="52"/>
      <c r="P1534" s="52"/>
    </row>
    <row r="1535" spans="1:16">
      <c r="A1535" s="54"/>
      <c r="B1535" s="53"/>
      <c r="C1535" s="55"/>
      <c r="D1535" s="52"/>
      <c r="E1535" s="52"/>
      <c r="F1535" s="52"/>
      <c r="G1535" s="52"/>
      <c r="H1535" s="52"/>
      <c r="I1535" s="53"/>
      <c r="J1535" s="56"/>
      <c r="K1535" s="53"/>
      <c r="L1535" s="57"/>
      <c r="M1535" s="57"/>
      <c r="N1535" s="53"/>
      <c r="O1535" s="52"/>
      <c r="P1535" s="52"/>
    </row>
    <row r="1536" spans="1:16">
      <c r="A1536" s="54"/>
      <c r="B1536" s="53"/>
      <c r="C1536" s="55"/>
      <c r="D1536" s="52"/>
      <c r="E1536" s="52"/>
      <c r="F1536" s="52"/>
      <c r="G1536" s="52"/>
      <c r="H1536" s="52"/>
      <c r="I1536" s="53"/>
      <c r="J1536" s="56"/>
      <c r="K1536" s="53"/>
      <c r="L1536" s="57"/>
      <c r="M1536" s="57"/>
      <c r="N1536" s="53"/>
      <c r="O1536" s="52"/>
      <c r="P1536" s="52"/>
    </row>
    <row r="1537" spans="1:16">
      <c r="A1537" s="54"/>
      <c r="B1537" s="53"/>
      <c r="C1537" s="55"/>
      <c r="D1537" s="52"/>
      <c r="E1537" s="52"/>
      <c r="F1537" s="52"/>
      <c r="G1537" s="52"/>
      <c r="H1537" s="52"/>
      <c r="I1537" s="53"/>
      <c r="J1537" s="56"/>
      <c r="K1537" s="53"/>
      <c r="L1537" s="57"/>
      <c r="M1537" s="57"/>
      <c r="N1537" s="53"/>
      <c r="O1537" s="52"/>
      <c r="P1537" s="52"/>
    </row>
    <row r="1538" spans="1:16">
      <c r="A1538" s="54"/>
      <c r="B1538" s="53"/>
      <c r="C1538" s="55"/>
      <c r="D1538" s="52"/>
      <c r="E1538" s="52"/>
      <c r="F1538" s="52"/>
      <c r="G1538" s="52"/>
      <c r="H1538" s="52"/>
      <c r="I1538" s="53"/>
      <c r="J1538" s="56"/>
      <c r="K1538" s="53"/>
      <c r="L1538" s="57"/>
      <c r="M1538" s="57"/>
      <c r="N1538" s="53"/>
      <c r="O1538" s="52"/>
      <c r="P1538" s="52"/>
    </row>
    <row r="1539" spans="1:16">
      <c r="A1539" s="54"/>
      <c r="B1539" s="53"/>
      <c r="C1539" s="55"/>
      <c r="D1539" s="52"/>
      <c r="E1539" s="52"/>
      <c r="F1539" s="52"/>
      <c r="G1539" s="52"/>
      <c r="H1539" s="52"/>
      <c r="I1539" s="53"/>
      <c r="J1539" s="56"/>
      <c r="K1539" s="53"/>
      <c r="L1539" s="57"/>
      <c r="M1539" s="57"/>
      <c r="N1539" s="53"/>
      <c r="O1539" s="52"/>
      <c r="P1539" s="52"/>
    </row>
    <row r="1540" spans="1:16">
      <c r="A1540" s="54"/>
      <c r="B1540" s="53"/>
      <c r="C1540" s="55"/>
      <c r="D1540" s="52"/>
      <c r="E1540" s="52"/>
      <c r="F1540" s="52"/>
      <c r="G1540" s="52"/>
      <c r="H1540" s="52"/>
      <c r="I1540" s="53"/>
      <c r="J1540" s="56"/>
      <c r="K1540" s="53"/>
      <c r="L1540" s="57"/>
      <c r="M1540" s="57"/>
      <c r="N1540" s="53"/>
      <c r="O1540" s="52"/>
      <c r="P1540" s="52"/>
    </row>
    <row r="1541" spans="1:16">
      <c r="A1541" s="54"/>
      <c r="B1541" s="53"/>
      <c r="C1541" s="55"/>
      <c r="D1541" s="52"/>
      <c r="E1541" s="52"/>
      <c r="F1541" s="52"/>
      <c r="G1541" s="52"/>
      <c r="H1541" s="52"/>
      <c r="I1541" s="53"/>
      <c r="J1541" s="56"/>
      <c r="K1541" s="53"/>
      <c r="L1541" s="57"/>
      <c r="M1541" s="57"/>
      <c r="N1541" s="53"/>
      <c r="O1541" s="52"/>
      <c r="P1541" s="52"/>
    </row>
    <row r="1542" spans="1:16">
      <c r="A1542" s="54"/>
      <c r="B1542" s="53"/>
      <c r="C1542" s="55"/>
      <c r="D1542" s="52"/>
      <c r="E1542" s="52"/>
      <c r="F1542" s="52"/>
      <c r="G1542" s="52"/>
      <c r="H1542" s="52"/>
      <c r="I1542" s="53"/>
      <c r="J1542" s="56"/>
      <c r="K1542" s="53"/>
      <c r="L1542" s="57"/>
      <c r="M1542" s="57"/>
      <c r="N1542" s="53"/>
      <c r="O1542" s="52"/>
      <c r="P1542" s="52"/>
    </row>
    <row r="1543" spans="1:16">
      <c r="A1543" s="54"/>
      <c r="B1543" s="53"/>
      <c r="C1543" s="55"/>
      <c r="D1543" s="52"/>
      <c r="E1543" s="52"/>
      <c r="F1543" s="52"/>
      <c r="G1543" s="52"/>
      <c r="H1543" s="52"/>
      <c r="I1543" s="53"/>
      <c r="J1543" s="56"/>
      <c r="K1543" s="53"/>
      <c r="L1543" s="57"/>
      <c r="M1543" s="57"/>
      <c r="N1543" s="53"/>
      <c r="O1543" s="52"/>
      <c r="P1543" s="52"/>
    </row>
    <row r="1544" spans="1:16">
      <c r="A1544" s="54"/>
      <c r="B1544" s="53"/>
      <c r="C1544" s="55"/>
      <c r="D1544" s="52"/>
      <c r="E1544" s="52"/>
      <c r="F1544" s="52"/>
      <c r="G1544" s="52"/>
      <c r="H1544" s="52"/>
      <c r="I1544" s="53"/>
      <c r="J1544" s="56"/>
      <c r="K1544" s="53"/>
      <c r="L1544" s="57"/>
      <c r="M1544" s="57"/>
      <c r="N1544" s="53"/>
      <c r="O1544" s="52"/>
      <c r="P1544" s="52"/>
    </row>
    <row r="1545" spans="1:16">
      <c r="A1545" s="54"/>
      <c r="B1545" s="53"/>
      <c r="C1545" s="55"/>
      <c r="D1545" s="52"/>
      <c r="E1545" s="52"/>
      <c r="F1545" s="52"/>
      <c r="G1545" s="52"/>
      <c r="H1545" s="52"/>
      <c r="I1545" s="53"/>
      <c r="J1545" s="56"/>
      <c r="K1545" s="53"/>
      <c r="L1545" s="57"/>
      <c r="M1545" s="57"/>
      <c r="N1545" s="53"/>
      <c r="O1545" s="52"/>
      <c r="P1545" s="52"/>
    </row>
    <row r="1546" spans="1:16">
      <c r="A1546" s="54"/>
      <c r="B1546" s="53"/>
      <c r="C1546" s="55"/>
      <c r="D1546" s="52"/>
      <c r="E1546" s="52"/>
      <c r="F1546" s="52"/>
      <c r="G1546" s="52"/>
      <c r="H1546" s="52"/>
      <c r="I1546" s="53"/>
      <c r="J1546" s="56"/>
      <c r="K1546" s="53"/>
      <c r="L1546" s="57"/>
      <c r="M1546" s="57"/>
      <c r="N1546" s="53"/>
      <c r="O1546" s="52"/>
      <c r="P1546" s="52"/>
    </row>
    <row r="1547" spans="1:16">
      <c r="A1547" s="54"/>
      <c r="B1547" s="53"/>
      <c r="C1547" s="55"/>
      <c r="D1547" s="52"/>
      <c r="E1547" s="52"/>
      <c r="F1547" s="52"/>
      <c r="G1547" s="52"/>
      <c r="H1547" s="52"/>
      <c r="I1547" s="53"/>
      <c r="J1547" s="56"/>
      <c r="K1547" s="53"/>
      <c r="L1547" s="57"/>
      <c r="M1547" s="57"/>
      <c r="N1547" s="53"/>
      <c r="O1547" s="52"/>
      <c r="P1547" s="52"/>
    </row>
    <row r="1548" spans="1:16">
      <c r="A1548" s="54"/>
      <c r="B1548" s="53"/>
      <c r="C1548" s="55"/>
      <c r="D1548" s="52"/>
      <c r="E1548" s="52"/>
      <c r="F1548" s="52"/>
      <c r="G1548" s="52"/>
      <c r="H1548" s="52"/>
      <c r="I1548" s="53"/>
      <c r="J1548" s="56"/>
      <c r="K1548" s="53"/>
      <c r="L1548" s="57"/>
      <c r="M1548" s="57"/>
      <c r="N1548" s="53"/>
      <c r="O1548" s="52"/>
      <c r="P1548" s="52"/>
    </row>
    <row r="1549" spans="1:16">
      <c r="A1549" s="54"/>
      <c r="B1549" s="53"/>
      <c r="C1549" s="55"/>
      <c r="D1549" s="52"/>
      <c r="E1549" s="52"/>
      <c r="F1549" s="52"/>
      <c r="G1549" s="52"/>
      <c r="H1549" s="52"/>
      <c r="I1549" s="53"/>
      <c r="J1549" s="56"/>
      <c r="K1549" s="53"/>
      <c r="L1549" s="57"/>
      <c r="M1549" s="57"/>
      <c r="N1549" s="53"/>
      <c r="O1549" s="52"/>
      <c r="P1549" s="52"/>
    </row>
  </sheetData>
  <mergeCells count="7">
    <mergeCell ref="A1:C4"/>
    <mergeCell ref="D1:L2"/>
    <mergeCell ref="D3:L4"/>
    <mergeCell ref="M1:O1"/>
    <mergeCell ref="M2:O2"/>
    <mergeCell ref="M3:O3"/>
    <mergeCell ref="M4:O4"/>
  </mergeCells>
  <conditionalFormatting sqref="K126">
    <cfRule type="cellIs" dxfId="406" priority="5" operator="equal">
      <formula>"RAS"</formula>
    </cfRule>
  </conditionalFormatting>
  <conditionalFormatting sqref="K127:K295">
    <cfRule type="cellIs" dxfId="405" priority="4" operator="equal">
      <formula>"RAS"</formula>
    </cfRule>
  </conditionalFormatting>
  <pageMargins left="0.7" right="0.7" top="0.75" bottom="0.75" header="0.3" footer="0.3"/>
  <pageSetup paperSize="9" orientation="portrait" r:id="rId1"/>
  <ignoredErrors>
    <ignoredError sqref="K1427:K1432 K1434:K1447 K1449 K1450:K1461" numberStoredAsText="1"/>
  </ignoredErrors>
  <drawing r:id="rId2"/>
  <tableParts count="1">
    <tablePart r:id="rId3"/>
  </tableParts>
</worksheet>
</file>

<file path=xl/worksheets/sheet6.xml><?xml version="1.0" encoding="utf-8"?>
<worksheet xmlns="http://schemas.openxmlformats.org/spreadsheetml/2006/main" xmlns:r="http://schemas.openxmlformats.org/officeDocument/2006/relationships">
  <sheetPr codeName="Feuil5">
    <tabColor theme="7" tint="-0.249977111117893"/>
  </sheetPr>
  <dimension ref="A1:Q177"/>
  <sheetViews>
    <sheetView showGridLines="0" topLeftCell="A154" zoomScale="70" zoomScaleNormal="70" workbookViewId="0"/>
  </sheetViews>
  <sheetFormatPr baseColWidth="10" defaultColWidth="10.7109375" defaultRowHeight="15"/>
  <cols>
    <col min="1" max="1" width="27.28515625" bestFit="1" customWidth="1"/>
    <col min="2" max="2" width="23.5703125" customWidth="1"/>
    <col min="3" max="3" width="15.42578125" bestFit="1" customWidth="1"/>
    <col min="4" max="4" width="35.28515625" customWidth="1"/>
    <col min="5" max="5" width="22.140625" bestFit="1" customWidth="1"/>
    <col min="6" max="6" width="12.28515625" customWidth="1"/>
    <col min="7" max="7" width="19.7109375" customWidth="1"/>
  </cols>
  <sheetData>
    <row r="1" spans="1:9" hidden="1">
      <c r="A1" s="21" t="s">
        <v>284</v>
      </c>
      <c r="B1" t="s">
        <v>2630</v>
      </c>
    </row>
    <row r="2" spans="1:9" hidden="1">
      <c r="A2" s="21" t="s">
        <v>285</v>
      </c>
      <c r="B2" t="s">
        <v>2630</v>
      </c>
    </row>
    <row r="3" spans="1:9" hidden="1">
      <c r="A3" s="21" t="s">
        <v>459</v>
      </c>
      <c r="B3" t="s">
        <v>233</v>
      </c>
    </row>
    <row r="4" spans="1:9" hidden="1">
      <c r="A4" s="21" t="s">
        <v>288</v>
      </c>
      <c r="B4" t="s">
        <v>233</v>
      </c>
    </row>
    <row r="5" spans="1:9" hidden="1"/>
    <row r="6" spans="1:9" hidden="1">
      <c r="A6" s="21" t="s">
        <v>230</v>
      </c>
      <c r="B6" s="21" t="s">
        <v>296</v>
      </c>
      <c r="C6" s="21" t="s">
        <v>291</v>
      </c>
      <c r="D6" t="s">
        <v>286</v>
      </c>
      <c r="F6" s="30" t="s">
        <v>977</v>
      </c>
      <c r="G6" s="30" t="s">
        <v>978</v>
      </c>
      <c r="H6" s="30" t="s">
        <v>979</v>
      </c>
      <c r="I6" s="31" t="s">
        <v>980</v>
      </c>
    </row>
    <row r="7" spans="1:9" hidden="1">
      <c r="F7" t="str">
        <f>IF(ISBLANK(B7),"",((540*26-E7)/D7))</f>
        <v/>
      </c>
      <c r="G7" t="str">
        <f>IF(ISBLANK(B7),"",(E7/D7))</f>
        <v/>
      </c>
      <c r="H7" t="str">
        <f>IF(ISBLANK(B7),"",((F7/(F7+G7))*100))</f>
        <v/>
      </c>
      <c r="I7" t="str">
        <f>IF(ISBLANK(B7),"",90)</f>
        <v/>
      </c>
    </row>
    <row r="8" spans="1:9" hidden="1">
      <c r="F8" t="str">
        <f t="shared" ref="F8:F65" si="0">IF(ISBLANK(B8),"",((540*26-E8)/D8))</f>
        <v/>
      </c>
      <c r="G8" t="str">
        <f t="shared" ref="G8:G68" si="1">IF(ISBLANK(B8),"",(E8/D8))</f>
        <v/>
      </c>
      <c r="H8" t="str">
        <f t="shared" ref="H8:H53" si="2">IF(ISBLANK(B8),"",((F8/(F8+G8))*100))</f>
        <v/>
      </c>
      <c r="I8" t="str">
        <f t="shared" ref="I8:I67" si="3">IF(ISBLANK(B8),"",90)</f>
        <v/>
      </c>
    </row>
    <row r="9" spans="1:9" hidden="1">
      <c r="F9" t="str">
        <f t="shared" si="0"/>
        <v/>
      </c>
      <c r="G9" t="str">
        <f t="shared" si="1"/>
        <v/>
      </c>
      <c r="H9" t="str">
        <f t="shared" si="2"/>
        <v/>
      </c>
      <c r="I9" t="str">
        <f t="shared" si="3"/>
        <v/>
      </c>
    </row>
    <row r="10" spans="1:9" hidden="1">
      <c r="F10" t="str">
        <f t="shared" si="0"/>
        <v/>
      </c>
      <c r="G10" t="str">
        <f t="shared" si="1"/>
        <v/>
      </c>
      <c r="H10" t="str">
        <f t="shared" si="2"/>
        <v/>
      </c>
      <c r="I10" t="str">
        <f t="shared" si="3"/>
        <v/>
      </c>
    </row>
    <row r="11" spans="1:9" hidden="1">
      <c r="F11" t="str">
        <f t="shared" si="0"/>
        <v/>
      </c>
      <c r="G11" t="str">
        <f t="shared" si="1"/>
        <v/>
      </c>
      <c r="H11" t="str">
        <f t="shared" si="2"/>
        <v/>
      </c>
      <c r="I11" t="str">
        <f t="shared" si="3"/>
        <v/>
      </c>
    </row>
    <row r="12" spans="1:9" hidden="1">
      <c r="F12" t="str">
        <f t="shared" si="0"/>
        <v/>
      </c>
      <c r="G12" t="str">
        <f t="shared" si="1"/>
        <v/>
      </c>
      <c r="H12" t="str">
        <f t="shared" si="2"/>
        <v/>
      </c>
      <c r="I12" t="str">
        <f t="shared" si="3"/>
        <v/>
      </c>
    </row>
    <row r="13" spans="1:9" hidden="1">
      <c r="F13" t="str">
        <f t="shared" si="0"/>
        <v/>
      </c>
      <c r="G13" t="str">
        <f t="shared" si="1"/>
        <v/>
      </c>
      <c r="H13" t="str">
        <f t="shared" si="2"/>
        <v/>
      </c>
      <c r="I13" t="str">
        <f t="shared" si="3"/>
        <v/>
      </c>
    </row>
    <row r="14" spans="1:9" hidden="1">
      <c r="F14" t="str">
        <f t="shared" si="0"/>
        <v/>
      </c>
      <c r="G14" t="str">
        <f t="shared" si="1"/>
        <v/>
      </c>
      <c r="H14" t="str">
        <f t="shared" si="2"/>
        <v/>
      </c>
      <c r="I14" t="str">
        <f t="shared" si="3"/>
        <v/>
      </c>
    </row>
    <row r="15" spans="1:9" hidden="1">
      <c r="F15" t="str">
        <f t="shared" si="0"/>
        <v/>
      </c>
      <c r="G15" t="str">
        <f t="shared" si="1"/>
        <v/>
      </c>
      <c r="H15" t="str">
        <f t="shared" si="2"/>
        <v/>
      </c>
      <c r="I15" t="str">
        <f t="shared" si="3"/>
        <v/>
      </c>
    </row>
    <row r="16" spans="1:9" hidden="1">
      <c r="F16" t="str">
        <f t="shared" si="0"/>
        <v/>
      </c>
      <c r="G16" t="str">
        <f t="shared" si="1"/>
        <v/>
      </c>
      <c r="H16" t="str">
        <f t="shared" si="2"/>
        <v/>
      </c>
      <c r="I16" t="str">
        <f t="shared" si="3"/>
        <v/>
      </c>
    </row>
    <row r="17" spans="6:9" hidden="1">
      <c r="F17" t="str">
        <f t="shared" si="0"/>
        <v/>
      </c>
      <c r="G17" t="str">
        <f t="shared" si="1"/>
        <v/>
      </c>
      <c r="H17" t="str">
        <f t="shared" si="2"/>
        <v/>
      </c>
      <c r="I17" t="str">
        <f t="shared" si="3"/>
        <v/>
      </c>
    </row>
    <row r="18" spans="6:9" hidden="1">
      <c r="F18" t="str">
        <f t="shared" si="0"/>
        <v/>
      </c>
      <c r="G18" t="str">
        <f t="shared" si="1"/>
        <v/>
      </c>
      <c r="H18" t="str">
        <f t="shared" si="2"/>
        <v/>
      </c>
      <c r="I18" t="str">
        <f t="shared" si="3"/>
        <v/>
      </c>
    </row>
    <row r="19" spans="6:9" hidden="1">
      <c r="F19" t="str">
        <f t="shared" si="0"/>
        <v/>
      </c>
      <c r="G19" t="str">
        <f t="shared" si="1"/>
        <v/>
      </c>
      <c r="H19" t="str">
        <f t="shared" si="2"/>
        <v/>
      </c>
      <c r="I19" t="str">
        <f t="shared" si="3"/>
        <v/>
      </c>
    </row>
    <row r="20" spans="6:9" hidden="1">
      <c r="F20" t="str">
        <f t="shared" si="0"/>
        <v/>
      </c>
      <c r="G20" t="str">
        <f t="shared" si="1"/>
        <v/>
      </c>
      <c r="H20" t="str">
        <f t="shared" si="2"/>
        <v/>
      </c>
      <c r="I20" t="str">
        <f t="shared" si="3"/>
        <v/>
      </c>
    </row>
    <row r="21" spans="6:9" hidden="1">
      <c r="F21" t="str">
        <f t="shared" si="0"/>
        <v/>
      </c>
      <c r="G21" t="str">
        <f t="shared" si="1"/>
        <v/>
      </c>
      <c r="H21" t="str">
        <f t="shared" si="2"/>
        <v/>
      </c>
      <c r="I21" t="str">
        <f t="shared" si="3"/>
        <v/>
      </c>
    </row>
    <row r="22" spans="6:9" hidden="1">
      <c r="F22" t="str">
        <f t="shared" si="0"/>
        <v/>
      </c>
      <c r="G22" t="str">
        <f t="shared" si="1"/>
        <v/>
      </c>
      <c r="H22" t="str">
        <f t="shared" si="2"/>
        <v/>
      </c>
      <c r="I22" t="str">
        <f t="shared" si="3"/>
        <v/>
      </c>
    </row>
    <row r="23" spans="6:9" hidden="1">
      <c r="F23" t="str">
        <f t="shared" si="0"/>
        <v/>
      </c>
      <c r="G23" t="str">
        <f t="shared" si="1"/>
        <v/>
      </c>
      <c r="H23" t="str">
        <f t="shared" si="2"/>
        <v/>
      </c>
      <c r="I23" t="str">
        <f t="shared" si="3"/>
        <v/>
      </c>
    </row>
    <row r="24" spans="6:9" hidden="1">
      <c r="F24" t="str">
        <f t="shared" si="0"/>
        <v/>
      </c>
      <c r="G24" t="str">
        <f t="shared" si="1"/>
        <v/>
      </c>
      <c r="H24" t="str">
        <f t="shared" si="2"/>
        <v/>
      </c>
      <c r="I24" t="str">
        <f t="shared" si="3"/>
        <v/>
      </c>
    </row>
    <row r="25" spans="6:9" hidden="1">
      <c r="F25" t="str">
        <f t="shared" si="0"/>
        <v/>
      </c>
      <c r="G25" t="str">
        <f t="shared" si="1"/>
        <v/>
      </c>
      <c r="H25" t="str">
        <f t="shared" si="2"/>
        <v/>
      </c>
      <c r="I25" t="str">
        <f t="shared" si="3"/>
        <v/>
      </c>
    </row>
    <row r="26" spans="6:9" hidden="1">
      <c r="F26" t="str">
        <f t="shared" si="0"/>
        <v/>
      </c>
      <c r="G26" t="str">
        <f t="shared" si="1"/>
        <v/>
      </c>
      <c r="H26" t="str">
        <f t="shared" si="2"/>
        <v/>
      </c>
      <c r="I26" t="str">
        <f t="shared" si="3"/>
        <v/>
      </c>
    </row>
    <row r="27" spans="6:9" hidden="1">
      <c r="F27" t="str">
        <f t="shared" si="0"/>
        <v/>
      </c>
      <c r="G27" t="str">
        <f t="shared" si="1"/>
        <v/>
      </c>
      <c r="H27" t="str">
        <f t="shared" si="2"/>
        <v/>
      </c>
      <c r="I27" t="str">
        <f t="shared" si="3"/>
        <v/>
      </c>
    </row>
    <row r="28" spans="6:9" hidden="1">
      <c r="F28" t="str">
        <f t="shared" si="0"/>
        <v/>
      </c>
      <c r="G28" t="str">
        <f t="shared" si="1"/>
        <v/>
      </c>
      <c r="H28" t="str">
        <f t="shared" si="2"/>
        <v/>
      </c>
      <c r="I28" t="str">
        <f t="shared" si="3"/>
        <v/>
      </c>
    </row>
    <row r="29" spans="6:9" hidden="1">
      <c r="F29" t="str">
        <f t="shared" si="0"/>
        <v/>
      </c>
      <c r="G29" t="str">
        <f t="shared" si="1"/>
        <v/>
      </c>
      <c r="H29" t="str">
        <f t="shared" si="2"/>
        <v/>
      </c>
      <c r="I29" t="str">
        <f t="shared" si="3"/>
        <v/>
      </c>
    </row>
    <row r="30" spans="6:9" hidden="1">
      <c r="F30" t="str">
        <f t="shared" si="0"/>
        <v/>
      </c>
      <c r="G30" t="str">
        <f t="shared" si="1"/>
        <v/>
      </c>
      <c r="H30" t="str">
        <f t="shared" si="2"/>
        <v/>
      </c>
      <c r="I30" t="str">
        <f t="shared" si="3"/>
        <v/>
      </c>
    </row>
    <row r="31" spans="6:9" hidden="1"/>
    <row r="32" spans="6:9" hidden="1"/>
    <row r="33" hidden="1"/>
    <row r="34" hidden="1"/>
    <row r="35" hidden="1"/>
    <row r="36" hidden="1"/>
    <row r="37" hidden="1"/>
    <row r="38" hidden="1"/>
    <row r="39" hidden="1"/>
    <row r="50" spans="1:17">
      <c r="F50" t="str">
        <f t="shared" si="0"/>
        <v/>
      </c>
      <c r="G50" t="str">
        <f t="shared" si="1"/>
        <v/>
      </c>
      <c r="H50" t="str">
        <f t="shared" si="2"/>
        <v/>
      </c>
      <c r="I50" t="str">
        <f t="shared" si="3"/>
        <v/>
      </c>
    </row>
    <row r="51" spans="1:17">
      <c r="A51" s="65"/>
      <c r="B51" s="65"/>
      <c r="C51" s="65"/>
      <c r="D51" s="65"/>
      <c r="E51" s="65"/>
      <c r="F51" s="65" t="str">
        <f t="shared" si="0"/>
        <v/>
      </c>
      <c r="G51" s="65" t="str">
        <f t="shared" si="1"/>
        <v/>
      </c>
      <c r="H51" s="65" t="str">
        <f t="shared" si="2"/>
        <v/>
      </c>
      <c r="I51" s="65" t="str">
        <f t="shared" si="3"/>
        <v/>
      </c>
      <c r="J51" s="65"/>
      <c r="K51" s="65"/>
      <c r="L51" s="65"/>
      <c r="M51" s="65"/>
      <c r="N51" s="65"/>
      <c r="O51" s="65"/>
      <c r="P51" s="65"/>
      <c r="Q51" s="65"/>
    </row>
    <row r="52" spans="1:17">
      <c r="A52" s="65"/>
      <c r="B52" s="65"/>
      <c r="C52" s="65"/>
      <c r="D52" s="65"/>
      <c r="E52" s="65"/>
      <c r="F52" s="65" t="str">
        <f t="shared" si="0"/>
        <v/>
      </c>
      <c r="G52" s="65" t="str">
        <f t="shared" si="1"/>
        <v/>
      </c>
      <c r="H52" s="65" t="str">
        <f t="shared" si="2"/>
        <v/>
      </c>
      <c r="I52" s="65" t="str">
        <f t="shared" si="3"/>
        <v/>
      </c>
      <c r="J52" s="65"/>
      <c r="K52" s="65"/>
      <c r="L52" s="65"/>
      <c r="M52" s="65"/>
      <c r="N52" s="65"/>
      <c r="O52" s="65"/>
      <c r="P52" s="65"/>
      <c r="Q52" s="65"/>
    </row>
    <row r="53" spans="1:17">
      <c r="A53" s="65"/>
      <c r="B53" s="65"/>
      <c r="C53" s="65"/>
      <c r="D53" s="65"/>
      <c r="E53" s="65"/>
      <c r="F53" s="65" t="str">
        <f t="shared" si="0"/>
        <v/>
      </c>
      <c r="G53" s="65" t="str">
        <f t="shared" si="1"/>
        <v/>
      </c>
      <c r="H53" s="65" t="str">
        <f t="shared" si="2"/>
        <v/>
      </c>
      <c r="I53" s="65" t="str">
        <f t="shared" si="3"/>
        <v/>
      </c>
      <c r="J53" s="65"/>
      <c r="K53" s="65"/>
      <c r="L53" s="65"/>
      <c r="M53" s="65"/>
      <c r="N53" s="65"/>
      <c r="O53" s="65"/>
      <c r="P53" s="65"/>
      <c r="Q53" s="65"/>
    </row>
    <row r="54" spans="1:17">
      <c r="A54" s="65"/>
      <c r="B54" s="65"/>
      <c r="C54" s="65"/>
      <c r="D54" s="65"/>
      <c r="E54" s="65"/>
      <c r="F54" s="65" t="str">
        <f t="shared" si="0"/>
        <v/>
      </c>
      <c r="G54" s="65" t="str">
        <f t="shared" si="1"/>
        <v/>
      </c>
      <c r="H54" s="65"/>
      <c r="I54" s="65" t="str">
        <f t="shared" si="3"/>
        <v/>
      </c>
      <c r="J54" s="65"/>
      <c r="K54" s="65"/>
      <c r="L54" s="65"/>
      <c r="M54" s="65"/>
      <c r="N54" s="65"/>
      <c r="O54" s="65"/>
      <c r="P54" s="65"/>
      <c r="Q54" s="65"/>
    </row>
    <row r="55" spans="1:17">
      <c r="A55" s="65"/>
      <c r="B55" s="65"/>
      <c r="C55" s="65"/>
      <c r="D55" s="65"/>
      <c r="E55" s="65"/>
      <c r="F55" s="65" t="str">
        <f t="shared" si="0"/>
        <v/>
      </c>
      <c r="G55" s="65" t="str">
        <f t="shared" si="1"/>
        <v/>
      </c>
      <c r="H55" s="65"/>
      <c r="I55" s="65" t="str">
        <f t="shared" si="3"/>
        <v/>
      </c>
      <c r="J55" s="65"/>
      <c r="K55" s="65"/>
      <c r="L55" s="65"/>
      <c r="M55" s="65"/>
      <c r="N55" s="65"/>
      <c r="O55" s="65"/>
      <c r="P55" s="65"/>
      <c r="Q55" s="65"/>
    </row>
    <row r="56" spans="1:17">
      <c r="A56" s="65"/>
      <c r="B56" s="65"/>
      <c r="C56" s="65"/>
      <c r="D56" s="65"/>
      <c r="E56" s="65"/>
      <c r="F56" s="65" t="str">
        <f t="shared" si="0"/>
        <v/>
      </c>
      <c r="G56" s="65" t="str">
        <f t="shared" si="1"/>
        <v/>
      </c>
      <c r="H56" s="65"/>
      <c r="I56" s="65" t="str">
        <f t="shared" si="3"/>
        <v/>
      </c>
      <c r="J56" s="65"/>
      <c r="K56" s="65"/>
      <c r="L56" s="65"/>
      <c r="M56" s="65"/>
      <c r="N56" s="65"/>
      <c r="O56" s="65"/>
      <c r="P56" s="65"/>
      <c r="Q56" s="65"/>
    </row>
    <row r="57" spans="1:17">
      <c r="A57" s="65"/>
      <c r="B57" s="65"/>
      <c r="C57" s="65"/>
      <c r="D57" s="65"/>
      <c r="E57" s="65"/>
      <c r="F57" s="65" t="str">
        <f t="shared" si="0"/>
        <v/>
      </c>
      <c r="G57" s="65" t="str">
        <f t="shared" si="1"/>
        <v/>
      </c>
      <c r="H57" s="65"/>
      <c r="I57" s="65" t="str">
        <f t="shared" si="3"/>
        <v/>
      </c>
      <c r="J57" s="65"/>
      <c r="K57" s="65"/>
      <c r="L57" s="65"/>
      <c r="M57" s="65"/>
      <c r="N57" s="65"/>
      <c r="O57" s="65"/>
      <c r="P57" s="65"/>
      <c r="Q57" s="65"/>
    </row>
    <row r="58" spans="1:17">
      <c r="A58" s="65"/>
      <c r="B58" s="65"/>
      <c r="C58" s="65"/>
      <c r="D58" s="65"/>
      <c r="E58" s="65"/>
      <c r="F58" s="65" t="str">
        <f t="shared" si="0"/>
        <v/>
      </c>
      <c r="G58" s="65" t="str">
        <f t="shared" si="1"/>
        <v/>
      </c>
      <c r="H58" s="65"/>
      <c r="I58" s="65" t="str">
        <f t="shared" si="3"/>
        <v/>
      </c>
      <c r="J58" s="65"/>
      <c r="K58" s="65"/>
      <c r="L58" s="65"/>
      <c r="M58" s="65"/>
      <c r="N58" s="65"/>
      <c r="O58" s="65"/>
      <c r="P58" s="65"/>
      <c r="Q58" s="65"/>
    </row>
    <row r="59" spans="1:17">
      <c r="A59" s="65"/>
      <c r="B59" s="65"/>
      <c r="C59" s="65"/>
      <c r="D59" s="65"/>
      <c r="E59" s="65"/>
      <c r="F59" s="65" t="str">
        <f t="shared" si="0"/>
        <v/>
      </c>
      <c r="G59" s="65" t="str">
        <f t="shared" si="1"/>
        <v/>
      </c>
      <c r="H59" s="65"/>
      <c r="I59" s="65" t="str">
        <f t="shared" si="3"/>
        <v/>
      </c>
      <c r="J59" s="65"/>
      <c r="K59" s="65"/>
      <c r="L59" s="65"/>
      <c r="M59" s="65"/>
      <c r="N59" s="65"/>
      <c r="O59" s="65"/>
      <c r="P59" s="65"/>
      <c r="Q59" s="65"/>
    </row>
    <row r="60" spans="1:17">
      <c r="A60" s="65"/>
      <c r="B60" s="65"/>
      <c r="C60" s="65"/>
      <c r="D60" s="65"/>
      <c r="E60" s="65"/>
      <c r="F60" s="65" t="str">
        <f t="shared" si="0"/>
        <v/>
      </c>
      <c r="G60" s="65" t="str">
        <f t="shared" si="1"/>
        <v/>
      </c>
      <c r="H60" s="65"/>
      <c r="I60" s="65" t="str">
        <f t="shared" si="3"/>
        <v/>
      </c>
      <c r="J60" s="65"/>
      <c r="K60" s="65"/>
      <c r="L60" s="65"/>
      <c r="M60" s="65"/>
      <c r="N60" s="65"/>
      <c r="O60" s="65"/>
      <c r="P60" s="65"/>
      <c r="Q60" s="65"/>
    </row>
    <row r="61" spans="1:17">
      <c r="A61" s="65"/>
      <c r="B61" s="65"/>
      <c r="C61" s="65"/>
      <c r="D61" s="65"/>
      <c r="E61" s="65"/>
      <c r="F61" s="65" t="str">
        <f t="shared" si="0"/>
        <v/>
      </c>
      <c r="G61" s="65" t="str">
        <f t="shared" si="1"/>
        <v/>
      </c>
      <c r="H61" s="65"/>
      <c r="I61" s="65" t="str">
        <f t="shared" si="3"/>
        <v/>
      </c>
      <c r="J61" s="65"/>
      <c r="K61" s="65"/>
      <c r="L61" s="65"/>
      <c r="M61" s="65"/>
      <c r="N61" s="65"/>
      <c r="O61" s="65"/>
      <c r="P61" s="65"/>
      <c r="Q61" s="65"/>
    </row>
    <row r="62" spans="1:17">
      <c r="A62" s="65"/>
      <c r="B62" s="65"/>
      <c r="C62" s="65"/>
      <c r="D62" s="65"/>
      <c r="E62" s="65"/>
      <c r="F62" s="65" t="str">
        <f t="shared" si="0"/>
        <v/>
      </c>
      <c r="G62" s="65" t="str">
        <f t="shared" si="1"/>
        <v/>
      </c>
      <c r="H62" s="65"/>
      <c r="I62" s="65" t="str">
        <f t="shared" si="3"/>
        <v/>
      </c>
      <c r="J62" s="65"/>
      <c r="K62" s="65"/>
      <c r="L62" s="65"/>
      <c r="M62" s="65"/>
      <c r="N62" s="65"/>
      <c r="O62" s="65"/>
      <c r="P62" s="65"/>
      <c r="Q62" s="65"/>
    </row>
    <row r="63" spans="1:17">
      <c r="A63" s="65"/>
      <c r="B63" s="65"/>
      <c r="C63" s="65"/>
      <c r="D63" s="65"/>
      <c r="E63" s="65"/>
      <c r="F63" s="65" t="str">
        <f t="shared" si="0"/>
        <v/>
      </c>
      <c r="G63" s="65" t="str">
        <f t="shared" si="1"/>
        <v/>
      </c>
      <c r="H63" s="65"/>
      <c r="I63" s="65" t="str">
        <f t="shared" si="3"/>
        <v/>
      </c>
      <c r="J63" s="65"/>
      <c r="K63" s="65"/>
      <c r="L63" s="65"/>
      <c r="M63" s="65"/>
      <c r="N63" s="65"/>
      <c r="O63" s="65"/>
      <c r="P63" s="65"/>
      <c r="Q63" s="65"/>
    </row>
    <row r="64" spans="1:17">
      <c r="A64" s="65"/>
      <c r="B64" s="65"/>
      <c r="C64" s="65"/>
      <c r="D64" s="65"/>
      <c r="E64" s="65"/>
      <c r="F64" s="65" t="str">
        <f t="shared" si="0"/>
        <v/>
      </c>
      <c r="G64" s="65" t="str">
        <f t="shared" si="1"/>
        <v/>
      </c>
      <c r="H64" s="65"/>
      <c r="I64" s="65" t="str">
        <f t="shared" si="3"/>
        <v/>
      </c>
      <c r="J64" s="65"/>
      <c r="K64" s="65"/>
      <c r="L64" s="65"/>
      <c r="M64" s="65"/>
      <c r="N64" s="65"/>
      <c r="O64" s="65"/>
      <c r="P64" s="65"/>
      <c r="Q64" s="65"/>
    </row>
    <row r="65" spans="1:17">
      <c r="A65" s="65"/>
      <c r="B65" s="65"/>
      <c r="C65" s="65"/>
      <c r="D65" s="65"/>
      <c r="E65" s="65"/>
      <c r="F65" s="65" t="str">
        <f t="shared" si="0"/>
        <v/>
      </c>
      <c r="G65" s="65" t="str">
        <f t="shared" si="1"/>
        <v/>
      </c>
      <c r="H65" s="65"/>
      <c r="I65" s="65" t="str">
        <f t="shared" si="3"/>
        <v/>
      </c>
      <c r="J65" s="65"/>
      <c r="K65" s="65"/>
      <c r="L65" s="65"/>
      <c r="M65" s="65"/>
      <c r="N65" s="65"/>
      <c r="O65" s="65"/>
      <c r="P65" s="65"/>
      <c r="Q65" s="65"/>
    </row>
    <row r="66" spans="1:17">
      <c r="A66" s="65"/>
      <c r="B66" s="65"/>
      <c r="C66" s="65"/>
      <c r="D66" s="65"/>
      <c r="E66" s="65"/>
      <c r="F66" s="65" t="str">
        <f t="shared" ref="F66:F73" si="4">IF(ISBLANK(B65),"",((540*26-E66)/D66))</f>
        <v/>
      </c>
      <c r="G66" s="65" t="str">
        <f t="shared" si="1"/>
        <v/>
      </c>
      <c r="H66" s="65"/>
      <c r="I66" s="65" t="str">
        <f t="shared" si="3"/>
        <v/>
      </c>
      <c r="J66" s="65"/>
      <c r="K66" s="65"/>
      <c r="L66" s="65"/>
      <c r="M66" s="65"/>
      <c r="N66" s="65"/>
      <c r="O66" s="65"/>
      <c r="P66" s="65"/>
      <c r="Q66" s="65"/>
    </row>
    <row r="67" spans="1:17">
      <c r="A67" s="65"/>
      <c r="B67" s="65"/>
      <c r="C67" s="65"/>
      <c r="D67" s="65"/>
      <c r="E67" s="65"/>
      <c r="F67" s="65" t="str">
        <f t="shared" si="4"/>
        <v/>
      </c>
      <c r="G67" s="65" t="str">
        <f t="shared" si="1"/>
        <v/>
      </c>
      <c r="H67" s="65"/>
      <c r="I67" s="65" t="str">
        <f t="shared" si="3"/>
        <v/>
      </c>
      <c r="J67" s="65"/>
      <c r="K67" s="65"/>
      <c r="L67" s="65"/>
      <c r="M67" s="65"/>
      <c r="N67" s="65"/>
      <c r="O67" s="65"/>
      <c r="P67" s="65"/>
      <c r="Q67" s="65"/>
    </row>
    <row r="68" spans="1:17">
      <c r="A68" s="65"/>
      <c r="B68" s="65"/>
      <c r="C68" s="65"/>
      <c r="D68" s="65"/>
      <c r="E68" s="65"/>
      <c r="F68" s="65" t="str">
        <f t="shared" si="4"/>
        <v/>
      </c>
      <c r="G68" s="65" t="str">
        <f t="shared" si="1"/>
        <v/>
      </c>
      <c r="H68" s="65"/>
      <c r="I68" s="65"/>
      <c r="J68" s="65"/>
      <c r="K68" s="65"/>
      <c r="L68" s="65"/>
      <c r="M68" s="65"/>
      <c r="N68" s="65"/>
      <c r="O68" s="65"/>
      <c r="P68" s="65"/>
      <c r="Q68" s="65"/>
    </row>
    <row r="69" spans="1:17">
      <c r="A69" s="65"/>
      <c r="B69" s="65"/>
      <c r="C69" s="65"/>
      <c r="D69" s="65"/>
      <c r="E69" s="65"/>
      <c r="F69" s="65" t="str">
        <f t="shared" si="4"/>
        <v/>
      </c>
      <c r="G69" s="65"/>
      <c r="H69" s="65"/>
      <c r="I69" s="65"/>
      <c r="J69" s="65"/>
      <c r="K69" s="65"/>
      <c r="L69" s="65"/>
      <c r="M69" s="65"/>
      <c r="N69" s="65"/>
      <c r="O69" s="65"/>
      <c r="P69" s="65"/>
      <c r="Q69" s="65"/>
    </row>
    <row r="70" spans="1:17">
      <c r="A70" s="65"/>
      <c r="B70" s="65"/>
      <c r="C70" s="65"/>
      <c r="D70" s="65"/>
      <c r="E70" s="65"/>
      <c r="F70" s="65" t="str">
        <f t="shared" si="4"/>
        <v/>
      </c>
      <c r="G70" s="65"/>
      <c r="H70" s="65"/>
      <c r="I70" s="65"/>
      <c r="J70" s="65"/>
      <c r="K70" s="65"/>
      <c r="L70" s="65"/>
      <c r="M70" s="65"/>
      <c r="N70" s="65"/>
      <c r="O70" s="65"/>
      <c r="P70" s="65"/>
      <c r="Q70" s="65"/>
    </row>
    <row r="71" spans="1:17">
      <c r="A71" s="65"/>
      <c r="B71" s="65"/>
      <c r="C71" s="65"/>
      <c r="D71" s="65"/>
      <c r="E71" s="65"/>
      <c r="F71" s="65" t="str">
        <f t="shared" si="4"/>
        <v/>
      </c>
      <c r="G71" s="65"/>
      <c r="H71" s="65"/>
      <c r="I71" s="65"/>
      <c r="J71" s="65"/>
      <c r="K71" s="65"/>
      <c r="L71" s="65"/>
      <c r="M71" s="65"/>
      <c r="N71" s="65"/>
      <c r="O71" s="65"/>
      <c r="P71" s="65"/>
      <c r="Q71" s="65"/>
    </row>
    <row r="72" spans="1:17">
      <c r="A72" s="65"/>
      <c r="B72" s="65"/>
      <c r="C72" s="65"/>
      <c r="D72" s="65"/>
      <c r="E72" s="65"/>
      <c r="F72" s="65" t="str">
        <f t="shared" si="4"/>
        <v/>
      </c>
      <c r="G72" s="65"/>
      <c r="H72" s="65"/>
      <c r="I72" s="65"/>
      <c r="J72" s="65"/>
      <c r="K72" s="65"/>
      <c r="L72" s="65"/>
      <c r="M72" s="65"/>
      <c r="N72" s="65"/>
      <c r="O72" s="65"/>
      <c r="P72" s="65"/>
      <c r="Q72" s="65"/>
    </row>
    <row r="73" spans="1:17">
      <c r="A73" s="65"/>
      <c r="B73" s="65"/>
      <c r="C73" s="65"/>
      <c r="D73" s="65"/>
      <c r="E73" s="65"/>
      <c r="F73" s="65" t="str">
        <f t="shared" si="4"/>
        <v/>
      </c>
      <c r="G73" s="65"/>
      <c r="H73" s="65"/>
      <c r="I73" s="65"/>
      <c r="J73" s="65"/>
      <c r="K73" s="65"/>
      <c r="L73" s="65"/>
      <c r="M73" s="65"/>
      <c r="N73" s="65"/>
      <c r="O73" s="65"/>
      <c r="P73" s="65"/>
      <c r="Q73" s="65"/>
    </row>
    <row r="74" spans="1:17">
      <c r="A74" s="65"/>
      <c r="B74" s="65"/>
      <c r="C74" s="65"/>
      <c r="D74" s="65"/>
      <c r="E74" s="65"/>
      <c r="F74" s="65"/>
      <c r="G74" s="65"/>
      <c r="H74" s="65"/>
      <c r="I74" s="65"/>
      <c r="J74" s="65"/>
      <c r="K74" s="65"/>
      <c r="L74" s="65"/>
      <c r="M74" s="65"/>
      <c r="N74" s="65"/>
      <c r="O74" s="65"/>
      <c r="P74" s="65"/>
      <c r="Q74" s="65"/>
    </row>
    <row r="78" spans="1:17">
      <c r="A78" s="66"/>
      <c r="B78" s="66"/>
      <c r="C78" s="66"/>
      <c r="D78" s="66"/>
      <c r="E78" s="66"/>
      <c r="F78" s="66"/>
      <c r="G78" s="66"/>
      <c r="H78" s="66"/>
      <c r="I78" s="66"/>
      <c r="J78" s="66"/>
      <c r="K78" s="66"/>
      <c r="L78" s="66"/>
      <c r="M78" s="66"/>
      <c r="N78" s="66"/>
      <c r="O78" s="66"/>
      <c r="P78" s="66"/>
      <c r="Q78" s="66"/>
    </row>
    <row r="79" spans="1:17">
      <c r="A79" s="66"/>
      <c r="B79" s="66"/>
      <c r="C79" s="66"/>
      <c r="D79" s="66"/>
      <c r="E79" s="66"/>
      <c r="F79" s="66"/>
      <c r="G79" s="66"/>
      <c r="H79" s="66"/>
      <c r="I79" s="66"/>
      <c r="J79" s="66"/>
      <c r="K79" s="66"/>
      <c r="L79" s="66"/>
      <c r="M79" s="66"/>
      <c r="N79" s="66"/>
      <c r="O79" s="66"/>
      <c r="P79" s="66"/>
      <c r="Q79" s="66"/>
    </row>
    <row r="80" spans="1:17">
      <c r="A80" s="66"/>
      <c r="B80" s="66"/>
      <c r="C80" s="66"/>
      <c r="D80" s="66"/>
      <c r="E80" s="66"/>
      <c r="F80" s="66"/>
      <c r="G80" s="66"/>
      <c r="H80" s="66"/>
      <c r="I80" s="66"/>
      <c r="J80" s="66"/>
      <c r="K80" s="66"/>
      <c r="L80" s="66"/>
      <c r="M80" s="66"/>
      <c r="N80" s="66"/>
      <c r="O80" s="66"/>
      <c r="P80" s="66"/>
      <c r="Q80" s="66"/>
    </row>
    <row r="81" spans="1:17">
      <c r="A81" s="66"/>
      <c r="B81" s="66"/>
      <c r="C81" s="66"/>
      <c r="D81" s="66"/>
      <c r="E81" s="66"/>
      <c r="F81" s="66"/>
      <c r="G81" s="66"/>
      <c r="H81" s="66"/>
      <c r="I81" s="66"/>
      <c r="J81" s="66"/>
      <c r="K81" s="66"/>
      <c r="L81" s="66"/>
      <c r="M81" s="66"/>
      <c r="N81" s="66"/>
      <c r="O81" s="66"/>
      <c r="P81" s="66"/>
      <c r="Q81" s="66"/>
    </row>
    <row r="82" spans="1:17">
      <c r="A82" s="66"/>
      <c r="B82" s="66"/>
      <c r="C82" s="66"/>
      <c r="D82" s="66"/>
      <c r="E82" s="66"/>
      <c r="F82" s="66"/>
      <c r="G82" s="66"/>
      <c r="H82" s="66"/>
      <c r="I82" s="66"/>
      <c r="J82" s="66"/>
      <c r="K82" s="66"/>
      <c r="L82" s="66"/>
      <c r="M82" s="66"/>
      <c r="N82" s="66"/>
      <c r="O82" s="66"/>
      <c r="P82" s="66"/>
      <c r="Q82" s="66"/>
    </row>
    <row r="83" spans="1:17">
      <c r="A83" s="66"/>
      <c r="B83" s="66"/>
      <c r="C83" s="66"/>
      <c r="D83" s="66"/>
      <c r="E83" s="66"/>
      <c r="F83" s="66"/>
      <c r="G83" s="66"/>
      <c r="H83" s="66"/>
      <c r="I83" s="66"/>
      <c r="J83" s="66"/>
      <c r="K83" s="66"/>
      <c r="L83" s="66"/>
      <c r="M83" s="66"/>
      <c r="N83" s="66"/>
      <c r="O83" s="66"/>
      <c r="P83" s="66"/>
      <c r="Q83" s="66"/>
    </row>
    <row r="84" spans="1:17">
      <c r="A84" s="66"/>
      <c r="B84" s="66"/>
      <c r="C84" s="66"/>
      <c r="D84" s="66"/>
      <c r="E84" s="66"/>
      <c r="F84" s="66"/>
      <c r="G84" s="66"/>
      <c r="H84" s="66"/>
      <c r="I84" s="66"/>
      <c r="J84" s="66"/>
      <c r="K84" s="66"/>
      <c r="L84" s="66"/>
      <c r="M84" s="66"/>
      <c r="N84" s="66"/>
      <c r="O84" s="66"/>
      <c r="P84" s="66"/>
      <c r="Q84" s="66"/>
    </row>
    <row r="85" spans="1:17">
      <c r="A85" s="66"/>
      <c r="B85" s="66"/>
      <c r="C85" s="66"/>
      <c r="D85" s="66"/>
      <c r="E85" s="66"/>
      <c r="F85" s="66"/>
      <c r="G85" s="66"/>
      <c r="H85" s="66"/>
      <c r="I85" s="66"/>
      <c r="J85" s="66"/>
      <c r="K85" s="66"/>
      <c r="L85" s="66"/>
      <c r="M85" s="66"/>
      <c r="N85" s="66"/>
      <c r="O85" s="66"/>
      <c r="P85" s="66"/>
      <c r="Q85" s="66"/>
    </row>
    <row r="86" spans="1:17">
      <c r="A86" s="66"/>
      <c r="B86" s="66"/>
      <c r="C86" s="66"/>
      <c r="D86" s="66"/>
      <c r="E86" s="66"/>
      <c r="F86" s="66"/>
      <c r="G86" s="66"/>
      <c r="H86" s="66"/>
      <c r="I86" s="66"/>
      <c r="J86" s="66"/>
      <c r="K86" s="66"/>
      <c r="L86" s="66"/>
      <c r="M86" s="66"/>
      <c r="N86" s="66"/>
      <c r="O86" s="66"/>
      <c r="P86" s="66"/>
      <c r="Q86" s="66"/>
    </row>
    <row r="87" spans="1:17">
      <c r="A87" s="66"/>
      <c r="B87" s="66"/>
      <c r="C87" s="66"/>
      <c r="D87" s="66"/>
      <c r="E87" s="66"/>
      <c r="F87" s="66"/>
      <c r="G87" s="66"/>
      <c r="H87" s="66"/>
      <c r="I87" s="66"/>
      <c r="J87" s="66"/>
      <c r="K87" s="66"/>
      <c r="L87" s="66"/>
      <c r="M87" s="66"/>
      <c r="N87" s="66"/>
      <c r="O87" s="66"/>
      <c r="P87" s="66"/>
      <c r="Q87" s="66"/>
    </row>
    <row r="88" spans="1:17">
      <c r="A88" s="66"/>
      <c r="B88" s="66"/>
      <c r="C88" s="66"/>
      <c r="D88" s="66"/>
      <c r="E88" s="66"/>
      <c r="F88" s="66"/>
      <c r="G88" s="66"/>
      <c r="H88" s="66"/>
      <c r="I88" s="66"/>
      <c r="J88" s="66"/>
      <c r="K88" s="66"/>
      <c r="L88" s="66"/>
      <c r="M88" s="66"/>
      <c r="N88" s="66"/>
      <c r="O88" s="66"/>
      <c r="P88" s="66"/>
      <c r="Q88" s="66"/>
    </row>
    <row r="89" spans="1:17">
      <c r="A89" s="66"/>
      <c r="B89" s="66"/>
      <c r="C89" s="66"/>
      <c r="D89" s="66"/>
      <c r="E89" s="66"/>
      <c r="F89" s="66"/>
      <c r="G89" s="66"/>
      <c r="H89" s="66"/>
      <c r="I89" s="66"/>
      <c r="J89" s="66"/>
      <c r="K89" s="66"/>
      <c r="L89" s="66"/>
      <c r="M89" s="66"/>
      <c r="N89" s="66"/>
      <c r="O89" s="66"/>
      <c r="P89" s="66"/>
      <c r="Q89" s="66"/>
    </row>
    <row r="90" spans="1:17">
      <c r="A90" s="66"/>
      <c r="B90" s="66"/>
      <c r="C90" s="66"/>
      <c r="D90" s="66"/>
      <c r="E90" s="66"/>
      <c r="F90" s="66"/>
      <c r="G90" s="66"/>
      <c r="H90" s="66"/>
      <c r="I90" s="66"/>
      <c r="J90" s="66"/>
      <c r="K90" s="66"/>
      <c r="L90" s="66"/>
      <c r="M90" s="66"/>
      <c r="N90" s="66"/>
      <c r="O90" s="66"/>
      <c r="P90" s="66"/>
      <c r="Q90" s="66"/>
    </row>
    <row r="91" spans="1:17">
      <c r="A91" s="66"/>
      <c r="B91" s="66"/>
      <c r="C91" s="66"/>
      <c r="D91" s="66"/>
      <c r="E91" s="66"/>
      <c r="F91" s="66"/>
      <c r="G91" s="66"/>
      <c r="H91" s="66"/>
      <c r="I91" s="66"/>
      <c r="J91" s="66"/>
      <c r="K91" s="66"/>
      <c r="L91" s="66"/>
      <c r="M91" s="66"/>
      <c r="N91" s="66"/>
      <c r="O91" s="66"/>
      <c r="P91" s="66"/>
      <c r="Q91" s="66"/>
    </row>
    <row r="92" spans="1:17">
      <c r="A92" s="66"/>
      <c r="B92" s="66"/>
      <c r="C92" s="66"/>
      <c r="D92" s="66"/>
      <c r="E92" s="66"/>
      <c r="F92" s="66"/>
      <c r="G92" s="66"/>
      <c r="H92" s="66"/>
      <c r="I92" s="66"/>
      <c r="J92" s="66"/>
      <c r="K92" s="66"/>
      <c r="L92" s="66"/>
      <c r="M92" s="66"/>
      <c r="N92" s="66"/>
      <c r="O92" s="66"/>
      <c r="P92" s="66"/>
      <c r="Q92" s="66"/>
    </row>
    <row r="93" spans="1:17">
      <c r="A93" s="66"/>
      <c r="B93" s="66"/>
      <c r="C93" s="66"/>
      <c r="D93" s="66"/>
      <c r="E93" s="66"/>
      <c r="F93" s="66"/>
      <c r="G93" s="66"/>
      <c r="H93" s="66"/>
      <c r="I93" s="66"/>
      <c r="J93" s="66"/>
      <c r="K93" s="66"/>
      <c r="L93" s="66"/>
      <c r="M93" s="66"/>
      <c r="N93" s="66"/>
      <c r="O93" s="66"/>
      <c r="P93" s="66"/>
      <c r="Q93" s="66"/>
    </row>
    <row r="94" spans="1:17">
      <c r="A94" s="66"/>
      <c r="B94" s="66"/>
      <c r="C94" s="66"/>
      <c r="D94" s="66"/>
      <c r="E94" s="66"/>
      <c r="F94" s="66"/>
      <c r="G94" s="66"/>
      <c r="H94" s="66"/>
      <c r="I94" s="66"/>
      <c r="J94" s="66"/>
      <c r="K94" s="66"/>
      <c r="L94" s="66"/>
      <c r="M94" s="66"/>
      <c r="N94" s="66"/>
      <c r="O94" s="66"/>
      <c r="P94" s="66"/>
      <c r="Q94" s="66"/>
    </row>
    <row r="95" spans="1:17">
      <c r="A95" s="66"/>
      <c r="B95" s="66"/>
      <c r="C95" s="66"/>
      <c r="D95" s="66"/>
      <c r="E95" s="66"/>
      <c r="F95" s="66"/>
      <c r="G95" s="66"/>
      <c r="H95" s="66"/>
      <c r="I95" s="66"/>
      <c r="J95" s="66"/>
      <c r="K95" s="66"/>
      <c r="L95" s="66"/>
      <c r="M95" s="66"/>
      <c r="N95" s="66"/>
      <c r="O95" s="66"/>
      <c r="P95" s="66"/>
      <c r="Q95" s="66"/>
    </row>
    <row r="96" spans="1:17">
      <c r="A96" s="66"/>
      <c r="B96" s="66"/>
      <c r="C96" s="66"/>
      <c r="D96" s="66"/>
      <c r="E96" s="66"/>
      <c r="F96" s="66"/>
      <c r="G96" s="66"/>
      <c r="H96" s="66"/>
      <c r="I96" s="66"/>
      <c r="J96" s="66"/>
      <c r="K96" s="66"/>
      <c r="L96" s="66"/>
      <c r="M96" s="66"/>
      <c r="N96" s="66"/>
      <c r="O96" s="66"/>
      <c r="P96" s="66"/>
      <c r="Q96" s="66"/>
    </row>
    <row r="97" spans="1:17">
      <c r="A97" s="66"/>
      <c r="B97" s="66"/>
      <c r="C97" s="66"/>
      <c r="D97" s="66"/>
      <c r="E97" s="66"/>
      <c r="F97" s="66"/>
      <c r="G97" s="66"/>
      <c r="H97" s="66"/>
      <c r="I97" s="66"/>
      <c r="J97" s="66"/>
      <c r="K97" s="66"/>
      <c r="L97" s="66"/>
      <c r="M97" s="66"/>
      <c r="N97" s="66"/>
      <c r="O97" s="66"/>
      <c r="P97" s="66"/>
      <c r="Q97" s="66"/>
    </row>
    <row r="98" spans="1:17">
      <c r="A98" s="66"/>
      <c r="B98" s="66"/>
      <c r="C98" s="66"/>
      <c r="D98" s="66"/>
      <c r="E98" s="66"/>
      <c r="F98" s="66"/>
      <c r="G98" s="66"/>
      <c r="H98" s="66"/>
      <c r="I98" s="66"/>
      <c r="J98" s="66"/>
      <c r="K98" s="66"/>
      <c r="L98" s="66"/>
      <c r="M98" s="66"/>
      <c r="N98" s="66"/>
      <c r="O98" s="66"/>
      <c r="P98" s="66"/>
      <c r="Q98" s="66"/>
    </row>
    <row r="99" spans="1:17">
      <c r="A99" s="66"/>
      <c r="B99" s="66"/>
      <c r="C99" s="66"/>
      <c r="D99" s="66"/>
      <c r="E99" s="66"/>
      <c r="F99" s="66"/>
      <c r="G99" s="66"/>
      <c r="H99" s="66"/>
      <c r="I99" s="66"/>
      <c r="J99" s="66"/>
      <c r="K99" s="66"/>
      <c r="L99" s="66"/>
      <c r="M99" s="66"/>
      <c r="N99" s="66"/>
      <c r="O99" s="66"/>
      <c r="P99" s="66"/>
      <c r="Q99" s="66"/>
    </row>
    <row r="103" spans="1:17">
      <c r="A103" s="67"/>
      <c r="B103" s="67"/>
      <c r="C103" s="67"/>
      <c r="D103" s="67"/>
      <c r="E103" s="67"/>
      <c r="F103" s="67"/>
      <c r="G103" s="67"/>
      <c r="H103" s="67"/>
      <c r="I103" s="67"/>
      <c r="J103" s="67"/>
      <c r="K103" s="67"/>
      <c r="L103" s="67"/>
      <c r="M103" s="67"/>
      <c r="N103" s="67"/>
      <c r="O103" s="67"/>
      <c r="P103" s="67"/>
      <c r="Q103" s="67"/>
    </row>
    <row r="104" spans="1:17">
      <c r="A104" s="67"/>
      <c r="B104" s="67"/>
      <c r="C104" s="67"/>
      <c r="D104" s="67"/>
      <c r="E104" s="67"/>
      <c r="F104" s="67"/>
      <c r="G104" s="67"/>
      <c r="H104" s="67"/>
      <c r="I104" s="67"/>
      <c r="J104" s="67"/>
      <c r="K104" s="67"/>
      <c r="L104" s="67"/>
      <c r="M104" s="67"/>
      <c r="N104" s="67"/>
      <c r="O104" s="67"/>
      <c r="P104" s="67"/>
      <c r="Q104" s="67"/>
    </row>
    <row r="105" spans="1:17">
      <c r="A105" s="67"/>
      <c r="B105" s="67"/>
      <c r="C105" s="67"/>
      <c r="D105" s="67"/>
      <c r="E105" s="67"/>
      <c r="F105" s="67"/>
      <c r="G105" s="67"/>
      <c r="H105" s="67"/>
      <c r="I105" s="67"/>
      <c r="J105" s="67"/>
      <c r="K105" s="67"/>
      <c r="L105" s="67"/>
      <c r="M105" s="67"/>
      <c r="N105" s="67"/>
      <c r="O105" s="67"/>
      <c r="P105" s="67"/>
      <c r="Q105" s="67"/>
    </row>
    <row r="106" spans="1:17">
      <c r="A106" s="67"/>
      <c r="B106" s="67"/>
      <c r="C106" s="67"/>
      <c r="D106" s="67"/>
      <c r="E106" s="67"/>
      <c r="F106" s="67"/>
      <c r="G106" s="67"/>
      <c r="H106" s="67"/>
      <c r="I106" s="67"/>
      <c r="J106" s="67"/>
      <c r="K106" s="67"/>
      <c r="L106" s="67"/>
      <c r="M106" s="67"/>
      <c r="N106" s="67"/>
      <c r="O106" s="67"/>
      <c r="P106" s="67"/>
      <c r="Q106" s="67"/>
    </row>
    <row r="107" spans="1:17">
      <c r="A107" s="67"/>
      <c r="B107" s="67"/>
      <c r="C107" s="67"/>
      <c r="D107" s="67"/>
      <c r="E107" s="67"/>
      <c r="F107" s="67"/>
      <c r="G107" s="67"/>
      <c r="H107" s="67"/>
      <c r="I107" s="67"/>
      <c r="J107" s="67"/>
      <c r="K107" s="67"/>
      <c r="L107" s="67"/>
      <c r="M107" s="67"/>
      <c r="N107" s="67"/>
      <c r="O107" s="67"/>
      <c r="P107" s="67"/>
      <c r="Q107" s="67"/>
    </row>
    <row r="108" spans="1:17">
      <c r="A108" s="67"/>
      <c r="B108" s="67"/>
      <c r="C108" s="67"/>
      <c r="D108" s="67"/>
      <c r="E108" s="67"/>
      <c r="F108" s="67"/>
      <c r="G108" s="67"/>
      <c r="H108" s="67"/>
      <c r="I108" s="67"/>
      <c r="J108" s="67"/>
      <c r="K108" s="67"/>
      <c r="L108" s="67"/>
      <c r="M108" s="67"/>
      <c r="N108" s="67"/>
      <c r="O108" s="67"/>
      <c r="P108" s="67"/>
      <c r="Q108" s="67"/>
    </row>
    <row r="109" spans="1:17">
      <c r="A109" s="67"/>
      <c r="B109" s="67"/>
      <c r="C109" s="67"/>
      <c r="D109" s="67"/>
      <c r="E109" s="67"/>
      <c r="F109" s="67"/>
      <c r="G109" s="67"/>
      <c r="H109" s="67"/>
      <c r="I109" s="67"/>
      <c r="J109" s="67"/>
      <c r="K109" s="67"/>
      <c r="L109" s="67"/>
      <c r="M109" s="67"/>
      <c r="N109" s="67"/>
      <c r="O109" s="67"/>
      <c r="P109" s="67"/>
      <c r="Q109" s="67"/>
    </row>
    <row r="110" spans="1:17">
      <c r="A110" s="67"/>
      <c r="B110" s="67"/>
      <c r="C110" s="67"/>
      <c r="D110" s="67"/>
      <c r="E110" s="67"/>
      <c r="F110" s="67"/>
      <c r="G110" s="67"/>
      <c r="H110" s="67"/>
      <c r="I110" s="67"/>
      <c r="J110" s="67"/>
      <c r="K110" s="67"/>
      <c r="L110" s="67"/>
      <c r="M110" s="67"/>
      <c r="N110" s="67"/>
      <c r="O110" s="67"/>
      <c r="P110" s="67"/>
      <c r="Q110" s="67"/>
    </row>
    <row r="111" spans="1:17">
      <c r="A111" s="67"/>
      <c r="B111" s="67"/>
      <c r="C111" s="67"/>
      <c r="D111" s="67"/>
      <c r="E111" s="67"/>
      <c r="F111" s="67"/>
      <c r="G111" s="67"/>
      <c r="H111" s="67"/>
      <c r="I111" s="67"/>
      <c r="J111" s="67"/>
      <c r="K111" s="67"/>
      <c r="L111" s="67"/>
      <c r="M111" s="67"/>
      <c r="N111" s="67"/>
      <c r="O111" s="67"/>
      <c r="P111" s="67"/>
      <c r="Q111" s="67"/>
    </row>
    <row r="112" spans="1:17">
      <c r="A112" s="67"/>
      <c r="B112" s="67"/>
      <c r="C112" s="67"/>
      <c r="D112" s="67"/>
      <c r="E112" s="67"/>
      <c r="F112" s="67"/>
      <c r="G112" s="67"/>
      <c r="H112" s="67"/>
      <c r="I112" s="67"/>
      <c r="J112" s="67"/>
      <c r="K112" s="67"/>
      <c r="L112" s="67"/>
      <c r="M112" s="67"/>
      <c r="N112" s="67"/>
      <c r="O112" s="67"/>
      <c r="P112" s="67"/>
      <c r="Q112" s="67"/>
    </row>
    <row r="113" spans="1:17">
      <c r="A113" s="67"/>
      <c r="B113" s="67"/>
      <c r="C113" s="67"/>
      <c r="D113" s="67"/>
      <c r="E113" s="67"/>
      <c r="F113" s="67"/>
      <c r="G113" s="67"/>
      <c r="H113" s="67"/>
      <c r="I113" s="67"/>
      <c r="J113" s="67"/>
      <c r="K113" s="67"/>
      <c r="L113" s="67"/>
      <c r="M113" s="67"/>
      <c r="N113" s="67"/>
      <c r="O113" s="67"/>
      <c r="P113" s="67"/>
      <c r="Q113" s="67"/>
    </row>
    <row r="114" spans="1:17">
      <c r="A114" s="67"/>
      <c r="B114" s="67"/>
      <c r="C114" s="67"/>
      <c r="D114" s="67"/>
      <c r="E114" s="67"/>
      <c r="F114" s="67"/>
      <c r="G114" s="67"/>
      <c r="H114" s="67"/>
      <c r="I114" s="67"/>
      <c r="J114" s="67"/>
      <c r="K114" s="67"/>
      <c r="L114" s="67"/>
      <c r="M114" s="67"/>
      <c r="N114" s="67"/>
      <c r="O114" s="67"/>
      <c r="P114" s="67"/>
      <c r="Q114" s="67"/>
    </row>
    <row r="115" spans="1:17">
      <c r="A115" s="67"/>
      <c r="B115" s="67"/>
      <c r="C115" s="67"/>
      <c r="D115" s="67"/>
      <c r="E115" s="67"/>
      <c r="F115" s="67"/>
      <c r="G115" s="67"/>
      <c r="H115" s="67"/>
      <c r="I115" s="67"/>
      <c r="J115" s="67"/>
      <c r="K115" s="67"/>
      <c r="L115" s="67"/>
      <c r="M115" s="67"/>
      <c r="N115" s="67"/>
      <c r="O115" s="67"/>
      <c r="P115" s="67"/>
      <c r="Q115" s="67"/>
    </row>
    <row r="116" spans="1:17">
      <c r="A116" s="67"/>
      <c r="B116" s="67"/>
      <c r="C116" s="67"/>
      <c r="D116" s="67"/>
      <c r="E116" s="67"/>
      <c r="F116" s="67"/>
      <c r="G116" s="67"/>
      <c r="H116" s="67"/>
      <c r="I116" s="67"/>
      <c r="J116" s="67"/>
      <c r="K116" s="67"/>
      <c r="L116" s="67"/>
      <c r="M116" s="67"/>
      <c r="N116" s="67"/>
      <c r="O116" s="67"/>
      <c r="P116" s="67"/>
      <c r="Q116" s="67"/>
    </row>
    <row r="117" spans="1:17">
      <c r="A117" s="67"/>
      <c r="B117" s="67"/>
      <c r="C117" s="67"/>
      <c r="D117" s="67"/>
      <c r="E117" s="67"/>
      <c r="F117" s="67"/>
      <c r="G117" s="67"/>
      <c r="H117" s="67"/>
      <c r="I117" s="67"/>
      <c r="J117" s="67"/>
      <c r="K117" s="67"/>
      <c r="L117" s="67"/>
      <c r="M117" s="67"/>
      <c r="N117" s="67"/>
      <c r="O117" s="67"/>
      <c r="P117" s="67"/>
      <c r="Q117" s="67"/>
    </row>
    <row r="118" spans="1:17">
      <c r="A118" s="67"/>
      <c r="B118" s="67"/>
      <c r="C118" s="67"/>
      <c r="D118" s="67"/>
      <c r="E118" s="67"/>
      <c r="F118" s="67"/>
      <c r="G118" s="67"/>
      <c r="H118" s="67"/>
      <c r="I118" s="67"/>
      <c r="J118" s="67"/>
      <c r="K118" s="67"/>
      <c r="L118" s="67"/>
      <c r="M118" s="67"/>
      <c r="N118" s="67"/>
      <c r="O118" s="67"/>
      <c r="P118" s="67"/>
      <c r="Q118" s="67"/>
    </row>
    <row r="119" spans="1:17">
      <c r="A119" s="67"/>
      <c r="B119" s="67"/>
      <c r="C119" s="67"/>
      <c r="D119" s="67"/>
      <c r="E119" s="67"/>
      <c r="F119" s="67"/>
      <c r="G119" s="67"/>
      <c r="H119" s="67"/>
      <c r="I119" s="67"/>
      <c r="J119" s="67"/>
      <c r="K119" s="67"/>
      <c r="L119" s="67"/>
      <c r="M119" s="67"/>
      <c r="N119" s="67"/>
      <c r="O119" s="67"/>
      <c r="P119" s="67"/>
      <c r="Q119" s="67"/>
    </row>
    <row r="120" spans="1:17">
      <c r="A120" s="67"/>
      <c r="B120" s="67"/>
      <c r="C120" s="67"/>
      <c r="D120" s="67"/>
      <c r="E120" s="67"/>
      <c r="F120" s="67"/>
      <c r="G120" s="67"/>
      <c r="H120" s="67"/>
      <c r="I120" s="67"/>
      <c r="J120" s="67"/>
      <c r="K120" s="67"/>
      <c r="L120" s="67"/>
      <c r="M120" s="67"/>
      <c r="N120" s="67"/>
      <c r="O120" s="67"/>
      <c r="P120" s="67"/>
      <c r="Q120" s="67"/>
    </row>
    <row r="121" spans="1:17">
      <c r="A121" s="67"/>
      <c r="B121" s="67"/>
      <c r="C121" s="67"/>
      <c r="D121" s="67"/>
      <c r="E121" s="67"/>
      <c r="F121" s="67"/>
      <c r="G121" s="67"/>
      <c r="H121" s="67"/>
      <c r="I121" s="67"/>
      <c r="J121" s="67"/>
      <c r="K121" s="67"/>
      <c r="L121" s="67"/>
      <c r="M121" s="67"/>
      <c r="N121" s="67"/>
      <c r="O121" s="67"/>
      <c r="P121" s="67"/>
      <c r="Q121" s="67"/>
    </row>
    <row r="122" spans="1:17">
      <c r="A122" s="67"/>
      <c r="B122" s="67"/>
      <c r="C122" s="67"/>
      <c r="D122" s="67"/>
      <c r="E122" s="67"/>
      <c r="F122" s="67"/>
      <c r="G122" s="67"/>
      <c r="H122" s="67"/>
      <c r="I122" s="67"/>
      <c r="J122" s="67"/>
      <c r="K122" s="67"/>
      <c r="L122" s="67"/>
      <c r="M122" s="67"/>
      <c r="N122" s="67"/>
      <c r="O122" s="67"/>
      <c r="P122" s="67"/>
      <c r="Q122" s="67"/>
    </row>
    <row r="123" spans="1:17">
      <c r="A123" s="67"/>
      <c r="B123" s="67"/>
      <c r="C123" s="67"/>
      <c r="D123" s="67"/>
      <c r="E123" s="67"/>
      <c r="F123" s="67"/>
      <c r="G123" s="67"/>
      <c r="H123" s="67"/>
      <c r="I123" s="67"/>
      <c r="J123" s="67"/>
      <c r="K123" s="67"/>
      <c r="L123" s="67"/>
      <c r="M123" s="67"/>
      <c r="N123" s="67"/>
      <c r="O123" s="67"/>
      <c r="P123" s="67"/>
      <c r="Q123" s="67"/>
    </row>
    <row r="124" spans="1:17">
      <c r="A124" s="67"/>
      <c r="B124" s="67"/>
      <c r="C124" s="67"/>
      <c r="D124" s="67"/>
      <c r="E124" s="67"/>
      <c r="F124" s="67"/>
      <c r="G124" s="67"/>
      <c r="H124" s="67"/>
      <c r="I124" s="67"/>
      <c r="J124" s="67"/>
      <c r="K124" s="67"/>
      <c r="L124" s="67"/>
      <c r="M124" s="67"/>
      <c r="N124" s="67"/>
      <c r="O124" s="67"/>
      <c r="P124" s="67"/>
      <c r="Q124" s="67"/>
    </row>
    <row r="125" spans="1:17">
      <c r="A125" s="67"/>
      <c r="B125" s="67"/>
      <c r="C125" s="67"/>
      <c r="D125" s="67"/>
      <c r="E125" s="67"/>
      <c r="F125" s="67"/>
      <c r="G125" s="67"/>
      <c r="H125" s="67"/>
      <c r="I125" s="67"/>
      <c r="J125" s="67"/>
      <c r="K125" s="67"/>
      <c r="L125" s="67"/>
      <c r="M125" s="67"/>
      <c r="N125" s="67"/>
      <c r="O125" s="67"/>
      <c r="P125" s="67"/>
      <c r="Q125" s="67"/>
    </row>
    <row r="126" spans="1:17">
      <c r="A126" s="67"/>
      <c r="B126" s="67"/>
      <c r="C126" s="67"/>
      <c r="D126" s="67"/>
      <c r="E126" s="67"/>
      <c r="F126" s="67"/>
      <c r="G126" s="67"/>
      <c r="H126" s="67"/>
      <c r="I126" s="67"/>
      <c r="J126" s="67"/>
      <c r="K126" s="67"/>
      <c r="L126" s="67"/>
      <c r="M126" s="67"/>
      <c r="N126" s="67"/>
      <c r="O126" s="67"/>
      <c r="P126" s="67"/>
      <c r="Q126" s="67"/>
    </row>
    <row r="139" spans="1:8">
      <c r="C139" t="s">
        <v>1059</v>
      </c>
    </row>
    <row r="140" spans="1:8" ht="15.75" thickBot="1">
      <c r="A140" s="62" t="s">
        <v>289</v>
      </c>
      <c r="B140" s="62" t="s">
        <v>290</v>
      </c>
      <c r="C140" s="62" t="s">
        <v>1055</v>
      </c>
      <c r="D140" s="62" t="s">
        <v>1056</v>
      </c>
      <c r="E140" s="62" t="s">
        <v>977</v>
      </c>
      <c r="F140" s="62" t="s">
        <v>978</v>
      </c>
      <c r="G140" s="62" t="s">
        <v>979</v>
      </c>
      <c r="H140" s="62" t="s">
        <v>980</v>
      </c>
    </row>
    <row r="141" spans="1:8">
      <c r="A141" s="28">
        <v>434</v>
      </c>
      <c r="B141" s="28" t="s">
        <v>440</v>
      </c>
      <c r="C141" s="63" t="str">
        <f>IF(ISERR(GETPIVOTDATA("Somme de Temps ",$A$6,"Code",Tableau10[[#This Row],[CODE Véhicule]])),"0",GETPIVOTDATA("Somme de Temps ",$A$6,"Code",Tableau10[[#This Row],[CODE Véhicule]]))</f>
        <v>0</v>
      </c>
      <c r="D141" s="64" t="str">
        <f>IF(ISERR(GETPIVOTDATA("Nombre de Détail Intervention",$A$6,"Code",Tableau10[[#This Row],[CODE Véhicule]])),"0",GETPIVOTDATA("Nombre de Détail Intervention",$A$6,"Code",Tableau10[[#This Row],[CODE Véhicule]]))</f>
        <v>0</v>
      </c>
      <c r="E141" s="63">
        <f>IF((540*26-Tableau10[[#This Row],[∑ temps d''arrêts]])/(Tableau10[[#This Row],[Nb d''arrêt]]+1)&lt;0,"0",(540*26-Tableau10[[#This Row],[∑ temps d''arrêts]])/(Tableau10[[#This Row],[Nb d''arrêt]]+1))</f>
        <v>14040</v>
      </c>
      <c r="F141" s="63">
        <f>Tableau10[[#This Row],[∑ temps d''arrêts]]/(Tableau10[[#This Row],[Nb d''arrêt]]+1)</f>
        <v>0</v>
      </c>
      <c r="G141" s="63">
        <f>(Tableau10[[#This Row],[MTBF]]/(Tableau10[[#This Row],[MTBF]]+Tableau10[[#This Row],[MTTR]]))*100</f>
        <v>100</v>
      </c>
      <c r="H141" s="63">
        <v>90</v>
      </c>
    </row>
    <row r="142" spans="1:8">
      <c r="A142" s="28">
        <v>431</v>
      </c>
      <c r="B142" s="28" t="s">
        <v>441</v>
      </c>
      <c r="C142" s="63" t="str">
        <f>IF(ISERR(GETPIVOTDATA("Somme de Temps ",$A$6,"Code",Tableau10[[#This Row],[CODE Véhicule]])),"0",GETPIVOTDATA("Somme de Temps ",$A$6,"Code",Tableau10[[#This Row],[CODE Véhicule]]))</f>
        <v>0</v>
      </c>
      <c r="D142" s="64" t="str">
        <f>IF(ISERR(GETPIVOTDATA("Nombre de Détail Intervention",$A$6,"Code",Tableau10[[#This Row],[CODE Véhicule]])),"0",GETPIVOTDATA("Nombre de Détail Intervention",$A$6,"Code",Tableau10[[#This Row],[CODE Véhicule]]))</f>
        <v>0</v>
      </c>
      <c r="E142" s="63">
        <f>IF((540*26-Tableau10[[#This Row],[∑ temps d''arrêts]])/(Tableau10[[#This Row],[Nb d''arrêt]]+1)&lt;0,"0",(540*26-Tableau10[[#This Row],[∑ temps d''arrêts]])/(Tableau10[[#This Row],[Nb d''arrêt]]+1))</f>
        <v>14040</v>
      </c>
      <c r="F142" s="63">
        <f>Tableau10[[#This Row],[∑ temps d''arrêts]]/(Tableau10[[#This Row],[Nb d''arrêt]]+1)</f>
        <v>0</v>
      </c>
      <c r="G142" s="63">
        <f>(Tableau10[[#This Row],[MTBF]]/(Tableau10[[#This Row],[MTBF]]+Tableau10[[#This Row],[MTTR]]))*100</f>
        <v>100</v>
      </c>
      <c r="H142" s="63">
        <v>90</v>
      </c>
    </row>
    <row r="143" spans="1:8">
      <c r="A143" s="28">
        <v>413</v>
      </c>
      <c r="B143" s="28" t="s">
        <v>207</v>
      </c>
      <c r="C143" s="63" t="str">
        <f>IF(ISERR(GETPIVOTDATA("Somme de Temps ",$A$6,"Code",Tableau10[[#This Row],[CODE Véhicule]])),"0",GETPIVOTDATA("Somme de Temps ",$A$6,"Code",Tableau10[[#This Row],[CODE Véhicule]]))</f>
        <v>0</v>
      </c>
      <c r="D143" s="64" t="str">
        <f>IF(ISERR(GETPIVOTDATA("Nombre de Détail Intervention",$A$6,"Code",Tableau10[[#This Row],[CODE Véhicule]])),"0",GETPIVOTDATA("Nombre de Détail Intervention",$A$6,"Code",Tableau10[[#This Row],[CODE Véhicule]]))</f>
        <v>0</v>
      </c>
      <c r="E143" s="63">
        <f>IF((540*26-Tableau10[[#This Row],[∑ temps d''arrêts]])/(Tableau10[[#This Row],[Nb d''arrêt]]+1)&lt;0,"0",(540*26-Tableau10[[#This Row],[∑ temps d''arrêts]])/(Tableau10[[#This Row],[Nb d''arrêt]]+1))</f>
        <v>14040</v>
      </c>
      <c r="F143" s="63">
        <f>Tableau10[[#This Row],[∑ temps d''arrêts]]/(Tableau10[[#This Row],[Nb d''arrêt]]+1)</f>
        <v>0</v>
      </c>
      <c r="G143" s="63">
        <f>(Tableau10[[#This Row],[MTBF]]/(Tableau10[[#This Row],[MTBF]]+Tableau10[[#This Row],[MTTR]]))*100</f>
        <v>100</v>
      </c>
      <c r="H143" s="63">
        <v>90</v>
      </c>
    </row>
    <row r="144" spans="1:8">
      <c r="A144" s="28">
        <v>429</v>
      </c>
      <c r="B144" s="28" t="s">
        <v>435</v>
      </c>
      <c r="C144" s="63" t="str">
        <f>IF(ISERR(GETPIVOTDATA("Somme de Temps ",$A$6,"Code",Tableau10[[#This Row],[CODE Véhicule]])),"0",GETPIVOTDATA("Somme de Temps ",$A$6,"Code",Tableau10[[#This Row],[CODE Véhicule]]))</f>
        <v>0</v>
      </c>
      <c r="D144" s="64" t="str">
        <f>IF(ISERR(GETPIVOTDATA("Nombre de Détail Intervention",$A$6,"Code",Tableau10[[#This Row],[CODE Véhicule]])),"0",GETPIVOTDATA("Nombre de Détail Intervention",$A$6,"Code",Tableau10[[#This Row],[CODE Véhicule]]))</f>
        <v>0</v>
      </c>
      <c r="E144" s="63">
        <f>IF((540*26-Tableau10[[#This Row],[∑ temps d''arrêts]])/(Tableau10[[#This Row],[Nb d''arrêt]]+1)&lt;0,"0",(540*26-Tableau10[[#This Row],[∑ temps d''arrêts]])/(Tableau10[[#This Row],[Nb d''arrêt]]+1))</f>
        <v>14040</v>
      </c>
      <c r="F144" s="63">
        <f>Tableau10[[#This Row],[∑ temps d''arrêts]]/(Tableau10[[#This Row],[Nb d''arrêt]]+1)</f>
        <v>0</v>
      </c>
      <c r="G144" s="63">
        <f>(Tableau10[[#This Row],[MTBF]]/(Tableau10[[#This Row],[MTBF]]+Tableau10[[#This Row],[MTTR]]))*100</f>
        <v>100</v>
      </c>
      <c r="H144" s="63">
        <v>90</v>
      </c>
    </row>
    <row r="145" spans="1:9">
      <c r="A145" s="28">
        <v>421</v>
      </c>
      <c r="B145" s="28" t="s">
        <v>439</v>
      </c>
      <c r="C145" s="63" t="str">
        <f>IF(ISERR(GETPIVOTDATA("Somme de Temps ",$A$6,"Code",Tableau10[[#This Row],[CODE Véhicule]])),"0",GETPIVOTDATA("Somme de Temps ",$A$6,"Code",Tableau10[[#This Row],[CODE Véhicule]]))</f>
        <v>0</v>
      </c>
      <c r="D145" s="64" t="str">
        <f>IF(ISERR(GETPIVOTDATA("Nombre de Détail Intervention",$A$6,"Code",Tableau10[[#This Row],[CODE Véhicule]])),"0",GETPIVOTDATA("Nombre de Détail Intervention",$A$6,"Code",Tableau10[[#This Row],[CODE Véhicule]]))</f>
        <v>0</v>
      </c>
      <c r="E145" s="63">
        <f>IF((540*26-Tableau10[[#This Row],[∑ temps d''arrêts]])/(Tableau10[[#This Row],[Nb d''arrêt]]+1)&lt;0,"0",(540*26-Tableau10[[#This Row],[∑ temps d''arrêts]])/(Tableau10[[#This Row],[Nb d''arrêt]]+1))</f>
        <v>14040</v>
      </c>
      <c r="F145" s="63">
        <f>Tableau10[[#This Row],[∑ temps d''arrêts]]/(Tableau10[[#This Row],[Nb d''arrêt]]+1)</f>
        <v>0</v>
      </c>
      <c r="G145" s="63">
        <v>0</v>
      </c>
      <c r="H145" s="63">
        <v>90</v>
      </c>
    </row>
    <row r="146" spans="1:9">
      <c r="A146" s="28">
        <v>422</v>
      </c>
      <c r="B146" s="28" t="s">
        <v>437</v>
      </c>
      <c r="C146" s="63" t="str">
        <f>IF(ISERR(GETPIVOTDATA("Somme de Temps ",$A$6,"Code",Tableau10[[#This Row],[CODE Véhicule]])),"0",GETPIVOTDATA("Somme de Temps ",$A$6,"Code",Tableau10[[#This Row],[CODE Véhicule]]))</f>
        <v>0</v>
      </c>
      <c r="D146" s="64" t="str">
        <f>IF(ISERR(GETPIVOTDATA("Nombre de Détail Intervention",$A$6,"Code",Tableau10[[#This Row],[CODE Véhicule]])),"0",GETPIVOTDATA("Nombre de Détail Intervention",$A$6,"Code",Tableau10[[#This Row],[CODE Véhicule]]))</f>
        <v>0</v>
      </c>
      <c r="E146" s="63">
        <f>IF((540*26-Tableau10[[#This Row],[∑ temps d''arrêts]])/(Tableau10[[#This Row],[Nb d''arrêt]]+1)&lt;0,"0",(540*26-Tableau10[[#This Row],[∑ temps d''arrêts]])/(Tableau10[[#This Row],[Nb d''arrêt]]+1))</f>
        <v>14040</v>
      </c>
      <c r="F146" s="63">
        <f>Tableau10[[#This Row],[∑ temps d''arrêts]]/(Tableau10[[#This Row],[Nb d''arrêt]]+1)</f>
        <v>0</v>
      </c>
      <c r="G146" s="63">
        <f>(Tableau10[[#This Row],[MTBF]]/(Tableau10[[#This Row],[MTBF]]+Tableau10[[#This Row],[MTTR]]))*100</f>
        <v>100</v>
      </c>
      <c r="H146" s="63">
        <v>90</v>
      </c>
    </row>
    <row r="147" spans="1:9">
      <c r="A147" s="28">
        <v>426</v>
      </c>
      <c r="B147" s="28" t="s">
        <v>206</v>
      </c>
      <c r="C147" s="63" t="str">
        <f>IF(ISERR(GETPIVOTDATA("Somme de Temps ",$A$6,"Code",Tableau10[[#This Row],[CODE Véhicule]])),"0",GETPIVOTDATA("Somme de Temps ",$A$6,"Code",Tableau10[[#This Row],[CODE Véhicule]]))</f>
        <v>0</v>
      </c>
      <c r="D147" s="64" t="str">
        <f>IF(ISERR(GETPIVOTDATA("Nombre de Détail Intervention",$A$6,"Code",Tableau10[[#This Row],[CODE Véhicule]])),"0",GETPIVOTDATA("Nombre de Détail Intervention",$A$6,"Code",Tableau10[[#This Row],[CODE Véhicule]]))</f>
        <v>0</v>
      </c>
      <c r="E147" s="63">
        <f>IF((540*26-Tableau10[[#This Row],[∑ temps d''arrêts]])/(Tableau10[[#This Row],[Nb d''arrêt]]+1)&lt;0,"0",(540*26-Tableau10[[#This Row],[∑ temps d''arrêts]])/(Tableau10[[#This Row],[Nb d''arrêt]]+1))</f>
        <v>14040</v>
      </c>
      <c r="F147" s="63">
        <f>Tableau10[[#This Row],[∑ temps d''arrêts]]/(Tableau10[[#This Row],[Nb d''arrêt]]+1)</f>
        <v>0</v>
      </c>
      <c r="G147" s="63">
        <f>(Tableau10[[#This Row],[MTBF]]/(Tableau10[[#This Row],[MTBF]]+Tableau10[[#This Row],[MTTR]]))*100</f>
        <v>100</v>
      </c>
      <c r="H147" s="63">
        <v>90</v>
      </c>
    </row>
    <row r="148" spans="1:9">
      <c r="A148" s="28">
        <v>427</v>
      </c>
      <c r="B148" s="28" t="s">
        <v>439</v>
      </c>
      <c r="C148" s="63" t="str">
        <f>IF(ISERR(GETPIVOTDATA("Somme de Temps ",$A$6,"Code",Tableau10[[#This Row],[CODE Véhicule]])),"0",GETPIVOTDATA("Somme de Temps ",$A$6,"Code",Tableau10[[#This Row],[CODE Véhicule]]))</f>
        <v>0</v>
      </c>
      <c r="D148" s="64" t="str">
        <f>IF(ISERR(GETPIVOTDATA("Nombre de Détail Intervention",$A$6,"Code",Tableau10[[#This Row],[CODE Véhicule]])),"0",GETPIVOTDATA("Nombre de Détail Intervention",$A$6,"Code",Tableau10[[#This Row],[CODE Véhicule]]))</f>
        <v>0</v>
      </c>
      <c r="E148" s="63">
        <f>IF((540*26-Tableau10[[#This Row],[∑ temps d''arrêts]])/(Tableau10[[#This Row],[Nb d''arrêt]]+1)&lt;0,"0",(540*26-Tableau10[[#This Row],[∑ temps d''arrêts]])/(Tableau10[[#This Row],[Nb d''arrêt]]+1))</f>
        <v>14040</v>
      </c>
      <c r="F148" s="63">
        <f>Tableau10[[#This Row],[∑ temps d''arrêts]]/(Tableau10[[#This Row],[Nb d''arrêt]]+1)</f>
        <v>0</v>
      </c>
      <c r="G148" s="63">
        <f>(Tableau10[[#This Row],[MTBF]]/(Tableau10[[#This Row],[MTBF]]+Tableau10[[#This Row],[MTTR]]))*100</f>
        <v>100</v>
      </c>
      <c r="H148" s="63">
        <v>90</v>
      </c>
    </row>
    <row r="149" spans="1:9">
      <c r="A149" s="28">
        <v>428</v>
      </c>
      <c r="B149" s="28" t="s">
        <v>439</v>
      </c>
      <c r="C149" s="63" t="str">
        <f>IF(ISERR(GETPIVOTDATA("Somme de Temps ",$A$6,"Code",Tableau10[[#This Row],[CODE Véhicule]])),"0",GETPIVOTDATA("Somme de Temps ",$A$6,"Code",Tableau10[[#This Row],[CODE Véhicule]]))</f>
        <v>0</v>
      </c>
      <c r="D149" s="64" t="str">
        <f>IF(ISERR(GETPIVOTDATA("Nombre de Détail Intervention",$A$6,"Code",Tableau10[[#This Row],[CODE Véhicule]])),"0",GETPIVOTDATA("Nombre de Détail Intervention",$A$6,"Code",Tableau10[[#This Row],[CODE Véhicule]]))</f>
        <v>0</v>
      </c>
      <c r="E149" s="63">
        <f>IF((540*26-Tableau10[[#This Row],[∑ temps d''arrêts]])/(Tableau10[[#This Row],[Nb d''arrêt]]+1)&lt;0,"0",(540*26-Tableau10[[#This Row],[∑ temps d''arrêts]])/(Tableau10[[#This Row],[Nb d''arrêt]]+1))</f>
        <v>14040</v>
      </c>
      <c r="F149" s="63">
        <f>Tableau10[[#This Row],[∑ temps d''arrêts]]/(Tableau10[[#This Row],[Nb d''arrêt]]+1)</f>
        <v>0</v>
      </c>
      <c r="G149" s="63">
        <f>(Tableau10[[#This Row],[MTBF]]/(Tableau10[[#This Row],[MTBF]]+Tableau10[[#This Row],[MTTR]]))*100</f>
        <v>100</v>
      </c>
      <c r="H149" s="63">
        <v>90</v>
      </c>
    </row>
    <row r="150" spans="1:9">
      <c r="A150" s="28">
        <v>430</v>
      </c>
      <c r="B150" s="28" t="s">
        <v>436</v>
      </c>
      <c r="C150" s="63" t="str">
        <f>IF(ISERR(GETPIVOTDATA("Somme de Temps ",$A$6,"Code",Tableau10[[#This Row],[CODE Véhicule]])),"0",GETPIVOTDATA("Somme de Temps ",$A$6,"Code",Tableau10[[#This Row],[CODE Véhicule]]))</f>
        <v>0</v>
      </c>
      <c r="D150" s="64" t="str">
        <f>IF(ISERR(GETPIVOTDATA("Nombre de Détail Intervention",$A$6,"Code",Tableau10[[#This Row],[CODE Véhicule]])),"0",GETPIVOTDATA("Nombre de Détail Intervention",$A$6,"Code",Tableau10[[#This Row],[CODE Véhicule]]))</f>
        <v>0</v>
      </c>
      <c r="E150" s="63">
        <f>IF((540*26-Tableau10[[#This Row],[∑ temps d''arrêts]])/(Tableau10[[#This Row],[Nb d''arrêt]]+1)&lt;0,"0",(540*26-Tableau10[[#This Row],[∑ temps d''arrêts]])/(Tableau10[[#This Row],[Nb d''arrêt]]+1))</f>
        <v>14040</v>
      </c>
      <c r="F150" s="63">
        <f>Tableau10[[#This Row],[∑ temps d''arrêts]]/(Tableau10[[#This Row],[Nb d''arrêt]]+1)</f>
        <v>0</v>
      </c>
      <c r="G150" s="63">
        <f>(Tableau10[[#This Row],[MTBF]]/(Tableau10[[#This Row],[MTBF]]+Tableau10[[#This Row],[MTTR]]))*100</f>
        <v>100</v>
      </c>
      <c r="H150" s="63">
        <v>90</v>
      </c>
    </row>
    <row r="151" spans="1:9">
      <c r="A151" s="28">
        <v>472</v>
      </c>
      <c r="B151" s="28" t="s">
        <v>438</v>
      </c>
      <c r="C151" s="63" t="str">
        <f>IF(ISERR(GETPIVOTDATA("Somme de Temps ",$A$6,"Code",Tableau10[[#This Row],[CODE Véhicule]])),"0",GETPIVOTDATA("Somme de Temps ",$A$6,"Code",Tableau10[[#This Row],[CODE Véhicule]]))</f>
        <v>0</v>
      </c>
      <c r="D151" s="64" t="str">
        <f>IF(ISERR(GETPIVOTDATA("Nombre de Détail Intervention",$A$6,"Code",Tableau10[[#This Row],[CODE Véhicule]])),"0",GETPIVOTDATA("Nombre de Détail Intervention",$A$6,"Code",Tableau10[[#This Row],[CODE Véhicule]]))</f>
        <v>0</v>
      </c>
      <c r="E151" s="63">
        <f>IF((540*26-Tableau10[[#This Row],[∑ temps d''arrêts]])/(Tableau10[[#This Row],[Nb d''arrêt]]+1)&lt;0,"0",(540*26-Tableau10[[#This Row],[∑ temps d''arrêts]])/(Tableau10[[#This Row],[Nb d''arrêt]]+1))</f>
        <v>14040</v>
      </c>
      <c r="F151" s="63">
        <f>Tableau10[[#This Row],[∑ temps d''arrêts]]/(Tableau10[[#This Row],[Nb d''arrêt]]+1)</f>
        <v>0</v>
      </c>
      <c r="G151" s="63">
        <f>(Tableau10[[#This Row],[MTBF]]/(Tableau10[[#This Row],[MTBF]]+Tableau10[[#This Row],[MTTR]]))*100</f>
        <v>100</v>
      </c>
      <c r="H151" s="63">
        <v>90</v>
      </c>
    </row>
    <row r="152" spans="1:9">
      <c r="A152" s="28">
        <v>477</v>
      </c>
      <c r="B152" s="28" t="s">
        <v>440</v>
      </c>
      <c r="C152" s="63" t="str">
        <f>IF(ISERR(GETPIVOTDATA("Somme de Temps ",$A$6,"Code",Tableau10[[#This Row],[CODE Véhicule]])),"0",GETPIVOTDATA("Somme de Temps ",$A$6,"Code",Tableau10[[#This Row],[CODE Véhicule]]))</f>
        <v>0</v>
      </c>
      <c r="D152" s="64" t="str">
        <f>IF(ISERR(GETPIVOTDATA("Nombre de Détail Intervention",$A$6,"Code",Tableau10[[#This Row],[CODE Véhicule]])),"0",GETPIVOTDATA("Nombre de Détail Intervention",$A$6,"Code",Tableau10[[#This Row],[CODE Véhicule]]))</f>
        <v>0</v>
      </c>
      <c r="E152" s="63">
        <f>IF((540*26-Tableau10[[#This Row],[∑ temps d''arrêts]])/(Tableau10[[#This Row],[Nb d''arrêt]]+1)&lt;0,"0",(540*26-Tableau10[[#This Row],[∑ temps d''arrêts]])/(Tableau10[[#This Row],[Nb d''arrêt]]+1))</f>
        <v>14040</v>
      </c>
      <c r="F152" s="63">
        <f>Tableau10[[#This Row],[∑ temps d''arrêts]]/(Tableau10[[#This Row],[Nb d''arrêt]]+1)</f>
        <v>0</v>
      </c>
      <c r="G152" s="63">
        <f>(Tableau10[[#This Row],[MTBF]]/(Tableau10[[#This Row],[MTBF]]+Tableau10[[#This Row],[MTTR]]))*100</f>
        <v>100</v>
      </c>
      <c r="H152" s="63">
        <v>90</v>
      </c>
    </row>
    <row r="153" spans="1:9">
      <c r="A153" s="28">
        <v>420</v>
      </c>
      <c r="B153" s="28" t="s">
        <v>725</v>
      </c>
      <c r="C153" s="63" t="str">
        <f>IF(ISERR(GETPIVOTDATA("Somme de Temps ",$A$6,"Code",Tableau10[[#This Row],[CODE Véhicule]])),"0",GETPIVOTDATA("Somme de Temps ",$A$6,"Code",Tableau10[[#This Row],[CODE Véhicule]]))</f>
        <v>0</v>
      </c>
      <c r="D153" s="64" t="str">
        <f>IF(ISERR(GETPIVOTDATA("Nombre de Détail Intervention",$A$6,"Code",Tableau10[[#This Row],[CODE Véhicule]])),"0",GETPIVOTDATA("Nombre de Détail Intervention",$A$6,"Code",Tableau10[[#This Row],[CODE Véhicule]]))</f>
        <v>0</v>
      </c>
      <c r="E153" s="63">
        <f>IF((540*26-Tableau10[[#This Row],[∑ temps d''arrêts]])/(Tableau10[[#This Row],[Nb d''arrêt]]+1)&lt;0,"0",(540*26-Tableau10[[#This Row],[∑ temps d''arrêts]])/(Tableau10[[#This Row],[Nb d''arrêt]]+1))</f>
        <v>14040</v>
      </c>
      <c r="F153" s="63">
        <f>Tableau10[[#This Row],[∑ temps d''arrêts]]/(Tableau10[[#This Row],[Nb d''arrêt]]+1)</f>
        <v>0</v>
      </c>
      <c r="G153" s="63">
        <f>(Tableau10[[#This Row],[MTBF]]/(Tableau10[[#This Row],[MTBF]]+Tableau10[[#This Row],[MTTR]]))*100</f>
        <v>100</v>
      </c>
      <c r="H153" s="63">
        <v>90</v>
      </c>
    </row>
    <row r="154" spans="1:9">
      <c r="A154" s="28"/>
      <c r="B154" s="28"/>
      <c r="C154" s="63"/>
      <c r="D154" s="64"/>
      <c r="E154" s="63"/>
      <c r="F154" s="63"/>
      <c r="G154" s="63"/>
      <c r="H154" s="63"/>
    </row>
    <row r="156" spans="1:9">
      <c r="C156" s="263" t="s">
        <v>1057</v>
      </c>
      <c r="D156" s="263"/>
    </row>
    <row r="157" spans="1:9" ht="15.75" thickBot="1">
      <c r="A157" s="62" t="s">
        <v>289</v>
      </c>
      <c r="B157" s="62" t="s">
        <v>290</v>
      </c>
      <c r="C157" s="62" t="s">
        <v>291</v>
      </c>
      <c r="D157" s="62" t="s">
        <v>1055</v>
      </c>
      <c r="E157" s="62" t="s">
        <v>1056</v>
      </c>
      <c r="F157" s="62" t="s">
        <v>977</v>
      </c>
      <c r="G157" s="62" t="s">
        <v>978</v>
      </c>
      <c r="H157" s="62" t="s">
        <v>979</v>
      </c>
      <c r="I157" s="62" t="s">
        <v>980</v>
      </c>
    </row>
    <row r="158" spans="1:9">
      <c r="A158" s="28">
        <v>411</v>
      </c>
      <c r="B158" s="28" t="s">
        <v>433</v>
      </c>
      <c r="C158" s="28" t="s">
        <v>416</v>
      </c>
      <c r="D158" s="64" t="str">
        <f>IF(ISERR(GETPIVOTDATA("Somme de Temps ",$A$6,"Code",Tableau11[[#This Row],[CODE Véhicule]])),"0",GETPIVOTDATA("Somme de Temps ",$A$6,"Code",Tableau11[[#This Row],[CODE Véhicule]]))</f>
        <v>0</v>
      </c>
      <c r="E158" s="64" t="str">
        <f>IF(ISERR(GETPIVOTDATA("Nombre de Détail Intervention",$A$6,"Code",Tableau11[[#This Row],[CODE Véhicule]])),"0",GETPIVOTDATA("Nombre de Détail Intervention",$A$6,"Code",Tableau11[[#This Row],[CODE Véhicule]]))</f>
        <v>0</v>
      </c>
      <c r="F158" s="63">
        <f>IF((540*26-Tableau11[[#This Row],[∑ temps d''arrêts]])/(Tableau11[[#This Row],[Nb d''arrêt]]+1)&lt;0,"0",(540*26-Tableau11[[#This Row],[∑ temps d''arrêts]])/(Tableau11[[#This Row],[Nb d''arrêt]]+1))</f>
        <v>14040</v>
      </c>
      <c r="G158" s="63">
        <f>Tableau11[[#This Row],[∑ temps d''arrêts]]/(Tableau11[[#This Row],[Nb d''arrêt]]+1)</f>
        <v>0</v>
      </c>
      <c r="H158" s="63">
        <f>(Tableau11[[#This Row],[MTBF]]/(Tableau11[[#This Row],[MTBF]]+Tableau11[[#This Row],[MTTR]]))*100</f>
        <v>100</v>
      </c>
      <c r="I158" s="28">
        <v>90</v>
      </c>
    </row>
    <row r="159" spans="1:9">
      <c r="A159" s="28">
        <v>436</v>
      </c>
      <c r="B159" s="28" t="s">
        <v>432</v>
      </c>
      <c r="C159" s="28" t="s">
        <v>415</v>
      </c>
      <c r="D159" s="64" t="str">
        <f>IF(ISERR(GETPIVOTDATA("Somme de Temps ",$A$6,"Code",Tableau11[[#This Row],[CODE Véhicule]])),"0",GETPIVOTDATA("Somme de Temps ",$A$6,"Code",Tableau11[[#This Row],[CODE Véhicule]]))</f>
        <v>0</v>
      </c>
      <c r="E159" s="64" t="str">
        <f>IF(ISERR(GETPIVOTDATA("Nombre de Détail Intervention",$A$6,"Code",Tableau11[[#This Row],[CODE Véhicule]])),"0",GETPIVOTDATA("Nombre de Détail Intervention",$A$6,"Code",Tableau11[[#This Row],[CODE Véhicule]]))</f>
        <v>0</v>
      </c>
      <c r="F159" s="63">
        <f>IF((540*26-Tableau11[[#This Row],[∑ temps d''arrêts]])/(Tableau11[[#This Row],[Nb d''arrêt]]+1)&lt;0,"0",(540*26-Tableau11[[#This Row],[∑ temps d''arrêts]])/(Tableau11[[#This Row],[Nb d''arrêt]]+1))</f>
        <v>14040</v>
      </c>
      <c r="G159" s="63">
        <f>Tableau11[[#This Row],[∑ temps d''arrêts]]/(Tableau11[[#This Row],[Nb d''arrêt]]+1)</f>
        <v>0</v>
      </c>
      <c r="H159" s="63">
        <f>(Tableau11[[#This Row],[MTBF]]/(Tableau11[[#This Row],[MTBF]]+Tableau11[[#This Row],[MTTR]]))*100</f>
        <v>100</v>
      </c>
      <c r="I159" s="28">
        <v>90</v>
      </c>
    </row>
    <row r="160" spans="1:9">
      <c r="A160" s="28">
        <v>401</v>
      </c>
      <c r="B160" s="28" t="s">
        <v>431</v>
      </c>
      <c r="C160" s="28" t="s">
        <v>418</v>
      </c>
      <c r="D160" s="64" t="str">
        <f>IF(ISERR(GETPIVOTDATA("Somme de Temps ",$A$6,"Code",Tableau11[[#This Row],[CODE Véhicule]])),"0",GETPIVOTDATA("Somme de Temps ",$A$6,"Code",Tableau11[[#This Row],[CODE Véhicule]]))</f>
        <v>0</v>
      </c>
      <c r="E160" s="64" t="str">
        <f>IF(ISERR(GETPIVOTDATA("Nombre de Détail Intervention",$A$6,"Code",Tableau11[[#This Row],[CODE Véhicule]])),"0",GETPIVOTDATA("Nombre de Détail Intervention",$A$6,"Code",Tableau11[[#This Row],[CODE Véhicule]]))</f>
        <v>0</v>
      </c>
      <c r="F160" s="63">
        <f>IF((540*26-Tableau11[[#This Row],[∑ temps d''arrêts]])/(Tableau11[[#This Row],[Nb d''arrêt]]+1)&lt;0,"0",(540*26-Tableau11[[#This Row],[∑ temps d''arrêts]])/(Tableau11[[#This Row],[Nb d''arrêt]]+1))</f>
        <v>14040</v>
      </c>
      <c r="G160" s="63">
        <f>Tableau11[[#This Row],[∑ temps d''arrêts]]/(Tableau11[[#This Row],[Nb d''arrêt]]+1)</f>
        <v>0</v>
      </c>
      <c r="H160" s="63">
        <f>(Tableau11[[#This Row],[MTBF]]/(Tableau11[[#This Row],[MTBF]]+Tableau11[[#This Row],[MTTR]]))*100</f>
        <v>100</v>
      </c>
      <c r="I160" s="28">
        <v>90</v>
      </c>
    </row>
    <row r="161" spans="1:9">
      <c r="A161" s="28">
        <v>435</v>
      </c>
      <c r="B161" s="28" t="s">
        <v>432</v>
      </c>
      <c r="C161" s="28" t="s">
        <v>414</v>
      </c>
      <c r="D161" s="64" t="str">
        <f>IF(ISERR(GETPIVOTDATA("Somme de Temps ",$A$6,"Code",Tableau11[[#This Row],[CODE Véhicule]])),"0",GETPIVOTDATA("Somme de Temps ",$A$6,"Code",Tableau11[[#This Row],[CODE Véhicule]]))</f>
        <v>0</v>
      </c>
      <c r="E161" s="64" t="str">
        <f>IF(ISERR(GETPIVOTDATA("Nombre de Détail Intervention",$A$6,"Code",Tableau11[[#This Row],[CODE Véhicule]])),"0",GETPIVOTDATA("Nombre de Détail Intervention",$A$6,"Code",Tableau11[[#This Row],[CODE Véhicule]]))</f>
        <v>0</v>
      </c>
      <c r="F161" s="63">
        <f>IF((540*26-Tableau11[[#This Row],[∑ temps d''arrêts]])/(Tableau11[[#This Row],[Nb d''arrêt]]+1)&lt;0,"0",(540*26-Tableau11[[#This Row],[∑ temps d''arrêts]])/(Tableau11[[#This Row],[Nb d''arrêt]]+1))</f>
        <v>14040</v>
      </c>
      <c r="G161" s="63">
        <f>Tableau11[[#This Row],[∑ temps d''arrêts]]/(Tableau11[[#This Row],[Nb d''arrêt]]+1)</f>
        <v>0</v>
      </c>
      <c r="H161" s="63">
        <f>(Tableau11[[#This Row],[MTBF]]/(Tableau11[[#This Row],[MTBF]]+Tableau11[[#This Row],[MTTR]]))*100</f>
        <v>100</v>
      </c>
      <c r="I161" s="28">
        <v>90</v>
      </c>
    </row>
    <row r="162" spans="1:9">
      <c r="A162" s="28">
        <v>480</v>
      </c>
      <c r="B162" s="28" t="s">
        <v>444</v>
      </c>
      <c r="C162" s="28" t="s">
        <v>447</v>
      </c>
      <c r="D162" s="64" t="str">
        <f>IF(ISERR(GETPIVOTDATA("Somme de Temps ",$A$6,"Code",Tableau11[[#This Row],[CODE Véhicule]])),"0",GETPIVOTDATA("Somme de Temps ",$A$6,"Code",Tableau11[[#This Row],[CODE Véhicule]]))</f>
        <v>0</v>
      </c>
      <c r="E162" s="64" t="str">
        <f>IF(ISERR(GETPIVOTDATA("Nombre de Détail Intervention",$A$6,"Code",Tableau11[[#This Row],[CODE Véhicule]])),"0",GETPIVOTDATA("Nombre de Détail Intervention",$A$6,"Code",Tableau11[[#This Row],[CODE Véhicule]]))</f>
        <v>0</v>
      </c>
      <c r="F162" s="63">
        <f>IF((540*26-Tableau11[[#This Row],[∑ temps d''arrêts]])/(Tableau11[[#This Row],[Nb d''arrêt]]+1)&lt;0,"0",(540*26-Tableau11[[#This Row],[∑ temps d''arrêts]])/(Tableau11[[#This Row],[Nb d''arrêt]]+1))</f>
        <v>14040</v>
      </c>
      <c r="G162" s="63">
        <f>Tableau11[[#This Row],[∑ temps d''arrêts]]/(Tableau11[[#This Row],[Nb d''arrêt]]+1)</f>
        <v>0</v>
      </c>
      <c r="H162" s="63">
        <f>(Tableau11[[#This Row],[MTBF]]/(Tableau11[[#This Row],[MTBF]]+Tableau11[[#This Row],[MTTR]]))*100</f>
        <v>100</v>
      </c>
      <c r="I162" s="28">
        <v>90</v>
      </c>
    </row>
    <row r="163" spans="1:9">
      <c r="A163" s="28">
        <v>403</v>
      </c>
      <c r="B163" s="28" t="s">
        <v>443</v>
      </c>
      <c r="C163" s="28" t="s">
        <v>417</v>
      </c>
      <c r="D163" s="64" t="str">
        <f>IF(ISERR(GETPIVOTDATA("Somme de Temps ",$A$6,"Code",Tableau11[[#This Row],[CODE Véhicule]])),"0",GETPIVOTDATA("Somme de Temps ",$A$6,"Code",Tableau11[[#This Row],[CODE Véhicule]]))</f>
        <v>0</v>
      </c>
      <c r="E163" s="64" t="str">
        <f>IF(ISERR(GETPIVOTDATA("Nombre de Détail Intervention",$A$6,"Code",Tableau11[[#This Row],[CODE Véhicule]])),"0",GETPIVOTDATA("Nombre de Détail Intervention",$A$6,"Code",Tableau11[[#This Row],[CODE Véhicule]]))</f>
        <v>0</v>
      </c>
      <c r="F163" s="63">
        <f>IF((540*26-Tableau11[[#This Row],[∑ temps d''arrêts]])/(Tableau11[[#This Row],[Nb d''arrêt]]+1)&lt;0,"0",(540*26-Tableau11[[#This Row],[∑ temps d''arrêts]])/(Tableau11[[#This Row],[Nb d''arrêt]]+1))</f>
        <v>14040</v>
      </c>
      <c r="G163" s="63">
        <f>Tableau11[[#This Row],[∑ temps d''arrêts]]/(Tableau11[[#This Row],[Nb d''arrêt]]+1)</f>
        <v>0</v>
      </c>
      <c r="H163" s="63">
        <f>(Tableau11[[#This Row],[MTBF]]/(Tableau11[[#This Row],[MTBF]]+Tableau11[[#This Row],[MTTR]]))*100</f>
        <v>100</v>
      </c>
      <c r="I163" s="28">
        <v>90</v>
      </c>
    </row>
    <row r="164" spans="1:9">
      <c r="A164" s="28">
        <v>405</v>
      </c>
      <c r="B164" s="28" t="s">
        <v>431</v>
      </c>
      <c r="C164" s="28" t="s">
        <v>419</v>
      </c>
      <c r="D164" s="64" t="str">
        <f>IF(ISERR(GETPIVOTDATA("Somme de Temps ",$A$6,"Code",Tableau11[[#This Row],[CODE Véhicule]])),"0",GETPIVOTDATA("Somme de Temps ",$A$6,"Code",Tableau11[[#This Row],[CODE Véhicule]]))</f>
        <v>0</v>
      </c>
      <c r="E164" s="64" t="str">
        <f>IF(ISERR(GETPIVOTDATA("Nombre de Détail Intervention",$A$6,"Code",Tableau11[[#This Row],[CODE Véhicule]])),"0",GETPIVOTDATA("Nombre de Détail Intervention",$A$6,"Code",Tableau11[[#This Row],[CODE Véhicule]]))</f>
        <v>0</v>
      </c>
      <c r="F164" s="63">
        <f>IF((540*26-Tableau11[[#This Row],[∑ temps d''arrêts]])/(Tableau11[[#This Row],[Nb d''arrêt]]+1)&lt;0,"0",(540*26-Tableau11[[#This Row],[∑ temps d''arrêts]])/(Tableau11[[#This Row],[Nb d''arrêt]]+1))</f>
        <v>14040</v>
      </c>
      <c r="G164" s="63">
        <f>Tableau11[[#This Row],[∑ temps d''arrêts]]/(Tableau11[[#This Row],[Nb d''arrêt]]+1)</f>
        <v>0</v>
      </c>
      <c r="H164" s="63">
        <f>(Tableau11[[#This Row],[MTBF]]/(Tableau11[[#This Row],[MTBF]]+Tableau11[[#This Row],[MTTR]]))*100</f>
        <v>100</v>
      </c>
      <c r="I164" s="28">
        <v>90</v>
      </c>
    </row>
    <row r="165" spans="1:9">
      <c r="A165" s="28">
        <v>408</v>
      </c>
      <c r="B165" s="28" t="s">
        <v>432</v>
      </c>
      <c r="C165" s="28" t="s">
        <v>412</v>
      </c>
      <c r="D165" s="64" t="str">
        <f>IF(ISERR(GETPIVOTDATA("Somme de Temps ",$A$6,"Code",Tableau11[[#This Row],[CODE Véhicule]])),"0",GETPIVOTDATA("Somme de Temps ",$A$6,"Code",Tableau11[[#This Row],[CODE Véhicule]]))</f>
        <v>0</v>
      </c>
      <c r="E165" s="64" t="str">
        <f>IF(ISERR(GETPIVOTDATA("Nombre de Détail Intervention",$A$6,"Code",Tableau11[[#This Row],[CODE Véhicule]])),"0",GETPIVOTDATA("Nombre de Détail Intervention",$A$6,"Code",Tableau11[[#This Row],[CODE Véhicule]]))</f>
        <v>0</v>
      </c>
      <c r="F165" s="63">
        <f>IF((540*26-Tableau11[[#This Row],[∑ temps d''arrêts]])/(Tableau11[[#This Row],[Nb d''arrêt]]+1)&lt;0,"0",(540*26-Tableau11[[#This Row],[∑ temps d''arrêts]])/(Tableau11[[#This Row],[Nb d''arrêt]]+1))</f>
        <v>14040</v>
      </c>
      <c r="G165" s="63">
        <f>Tableau11[[#This Row],[∑ temps d''arrêts]]/(Tableau11[[#This Row],[Nb d''arrêt]]+1)</f>
        <v>0</v>
      </c>
      <c r="H165" s="63">
        <f>(Tableau11[[#This Row],[MTBF]]/(Tableau11[[#This Row],[MTBF]]+Tableau11[[#This Row],[MTTR]]))*100</f>
        <v>100</v>
      </c>
      <c r="I165" s="28">
        <v>90</v>
      </c>
    </row>
    <row r="166" spans="1:9">
      <c r="A166" s="28">
        <v>409</v>
      </c>
      <c r="B166" s="28" t="s">
        <v>432</v>
      </c>
      <c r="C166" s="28" t="s">
        <v>413</v>
      </c>
      <c r="D166" s="64" t="str">
        <f>IF(ISERR(GETPIVOTDATA("Somme de Temps ",$A$6,"Code",Tableau11[[#This Row],[CODE Véhicule]])),"0",GETPIVOTDATA("Somme de Temps ",$A$6,"Code",Tableau11[[#This Row],[CODE Véhicule]]))</f>
        <v>0</v>
      </c>
      <c r="E166" s="64" t="str">
        <f>IF(ISERR(GETPIVOTDATA("Nombre de Détail Intervention",$A$6,"Code",Tableau11[[#This Row],[CODE Véhicule]])),"0",GETPIVOTDATA("Nombre de Détail Intervention",$A$6,"Code",Tableau11[[#This Row],[CODE Véhicule]]))</f>
        <v>0</v>
      </c>
      <c r="F166" s="63">
        <f>IF((540*26-Tableau11[[#This Row],[∑ temps d''arrêts]])/(Tableau11[[#This Row],[Nb d''arrêt]]+1)&lt;0,"0",(540*26-Tableau11[[#This Row],[∑ temps d''arrêts]])/(Tableau11[[#This Row],[Nb d''arrêt]]+1))</f>
        <v>14040</v>
      </c>
      <c r="G166" s="63">
        <f>Tableau11[[#This Row],[∑ temps d''arrêts]]/(Tableau11[[#This Row],[Nb d''arrêt]]+1)</f>
        <v>0</v>
      </c>
      <c r="H166" s="63">
        <f>(Tableau11[[#This Row],[MTBF]]/(Tableau11[[#This Row],[MTBF]]+Tableau11[[#This Row],[MTTR]]))*100</f>
        <v>100</v>
      </c>
      <c r="I166" s="28">
        <v>90</v>
      </c>
    </row>
    <row r="167" spans="1:9">
      <c r="A167" s="28">
        <v>481</v>
      </c>
      <c r="B167" s="28" t="s">
        <v>444</v>
      </c>
      <c r="C167" s="28" t="s">
        <v>448</v>
      </c>
      <c r="D167" s="64" t="str">
        <f>IF(ISERR(GETPIVOTDATA("Somme de Temps ",$A$6,"Code",Tableau11[[#This Row],[CODE Véhicule]])),"0",GETPIVOTDATA("Somme de Temps ",$A$6,"Code",Tableau11[[#This Row],[CODE Véhicule]]))</f>
        <v>0</v>
      </c>
      <c r="E167" s="64" t="str">
        <f>IF(ISERR(GETPIVOTDATA("Nombre de Détail Intervention",$A$6,"Code",Tableau11[[#This Row],[CODE Véhicule]])),"0",GETPIVOTDATA("Nombre de Détail Intervention",$A$6,"Code",Tableau11[[#This Row],[CODE Véhicule]]))</f>
        <v>0</v>
      </c>
      <c r="F167" s="63">
        <f>IF((540*26-Tableau11[[#This Row],[∑ temps d''arrêts]])/(Tableau11[[#This Row],[Nb d''arrêt]]+1)&lt;0,"0",(540*26-Tableau11[[#This Row],[∑ temps d''arrêts]])/(Tableau11[[#This Row],[Nb d''arrêt]]+1))</f>
        <v>14040</v>
      </c>
      <c r="G167" s="63">
        <f>Tableau11[[#This Row],[∑ temps d''arrêts]]/(Tableau11[[#This Row],[Nb d''arrêt]]+1)</f>
        <v>0</v>
      </c>
      <c r="H167" s="63">
        <f>(Tableau11[[#This Row],[MTBF]]/(Tableau11[[#This Row],[MTBF]]+Tableau11[[#This Row],[MTTR]]))*100</f>
        <v>100</v>
      </c>
      <c r="I167" s="28">
        <v>90</v>
      </c>
    </row>
    <row r="170" spans="1:9">
      <c r="C170" t="s">
        <v>1058</v>
      </c>
    </row>
    <row r="171" spans="1:9" ht="15.75" thickBot="1">
      <c r="A171" s="62" t="s">
        <v>289</v>
      </c>
      <c r="B171" s="62" t="s">
        <v>290</v>
      </c>
      <c r="C171" s="62" t="s">
        <v>291</v>
      </c>
      <c r="D171" s="62" t="s">
        <v>1055</v>
      </c>
      <c r="E171" s="62" t="s">
        <v>1056</v>
      </c>
      <c r="F171" s="62" t="s">
        <v>977</v>
      </c>
      <c r="G171" s="62" t="s">
        <v>978</v>
      </c>
      <c r="H171" s="62" t="s">
        <v>979</v>
      </c>
      <c r="I171" s="62" t="s">
        <v>980</v>
      </c>
    </row>
    <row r="172" spans="1:9">
      <c r="A172" s="28">
        <v>404</v>
      </c>
      <c r="B172" s="28" t="s">
        <v>444</v>
      </c>
      <c r="C172" s="28" t="s">
        <v>408</v>
      </c>
      <c r="D172" s="28" t="str">
        <f>IF(ISERR(GETPIVOTDATA("Somme de Temps ",$A$6,"Code",Tableau12[[#This Row],[CODE Véhicule]])),"0",GETPIVOTDATA("Somme de Temps ",$A$6,"Code",Tableau12[[#This Row],[CODE Véhicule]]))</f>
        <v>0</v>
      </c>
      <c r="E172" s="28" t="str">
        <f>IF(ISERR(GETPIVOTDATA("Nombre de Détail Intervention",$A$6,"Code",Tableau12[[#This Row],[CODE Véhicule]])),"0",GETPIVOTDATA("Nombre de Détail Intervention",$A$6,"Code",Tableau12[[#This Row],[CODE Véhicule]]))</f>
        <v>0</v>
      </c>
      <c r="F172" s="28">
        <f>IF((540*26-Tableau12[[#This Row],[∑ temps d''arrêts]])/(Tableau12[[#This Row],[Nb d''arrêt]]+1)&lt;0,"0",(540*26-Tableau12[[#This Row],[∑ temps d''arrêts]])/(Tableau12[[#This Row],[Nb d''arrêt]]+1))</f>
        <v>14040</v>
      </c>
      <c r="G172" s="28">
        <f>Tableau12[[#This Row],[∑ temps d''arrêts]]/(Tableau12[[#This Row],[Nb d''arrêt]]+1)</f>
        <v>0</v>
      </c>
      <c r="H172" s="28">
        <f>(Tableau12[[#This Row],[MTBF]]/(Tableau12[[#This Row],[MTBF]]+Tableau12[[#This Row],[MTTR]]))*100</f>
        <v>100</v>
      </c>
      <c r="I172" s="28">
        <v>90</v>
      </c>
    </row>
    <row r="173" spans="1:9">
      <c r="A173" s="28">
        <v>406</v>
      </c>
      <c r="B173" s="28" t="s">
        <v>444</v>
      </c>
      <c r="C173" s="28" t="s">
        <v>405</v>
      </c>
      <c r="D173" s="28" t="str">
        <f>IF(ISERR(GETPIVOTDATA("Somme de Temps ",$A$6,"Code",Tableau12[[#This Row],[CODE Véhicule]])),"0",GETPIVOTDATA("Somme de Temps ",$A$6,"Code",Tableau12[[#This Row],[CODE Véhicule]]))</f>
        <v>0</v>
      </c>
      <c r="E173" s="28" t="str">
        <f>IF(ISERR(GETPIVOTDATA("Nombre de Détail Intervention",$A$6,"Code",Tableau12[[#This Row],[CODE Véhicule]])),"0",GETPIVOTDATA("Nombre de Détail Intervention",$A$6,"Code",Tableau12[[#This Row],[CODE Véhicule]]))</f>
        <v>0</v>
      </c>
      <c r="F173" s="28">
        <f>IF((540*26-Tableau12[[#This Row],[∑ temps d''arrêts]])/(Tableau12[[#This Row],[Nb d''arrêt]]+1)&lt;0,"0",(540*26-Tableau12[[#This Row],[∑ temps d''arrêts]])/(Tableau12[[#This Row],[Nb d''arrêt]]+1))</f>
        <v>14040</v>
      </c>
      <c r="G173" s="28">
        <f>Tableau12[[#This Row],[∑ temps d''arrêts]]/(Tableau12[[#This Row],[Nb d''arrêt]]+1)</f>
        <v>0</v>
      </c>
      <c r="H173" s="28">
        <f>(Tableau12[[#This Row],[MTBF]]/(Tableau12[[#This Row],[MTBF]]+Tableau12[[#This Row],[MTTR]]))*100</f>
        <v>100</v>
      </c>
      <c r="I173" s="28">
        <v>90</v>
      </c>
    </row>
    <row r="174" spans="1:9">
      <c r="A174" s="28">
        <v>407</v>
      </c>
      <c r="B174" s="28" t="s">
        <v>443</v>
      </c>
      <c r="C174" s="28" t="s">
        <v>410</v>
      </c>
      <c r="D174" s="28" t="str">
        <f>IF(ISERR(GETPIVOTDATA("Somme de Temps ",$A$6,"Code",Tableau12[[#This Row],[CODE Véhicule]])),"0",GETPIVOTDATA("Somme de Temps ",$A$6,"Code",Tableau12[[#This Row],[CODE Véhicule]]))</f>
        <v>0</v>
      </c>
      <c r="E174" s="28" t="str">
        <f>IF(ISERR(GETPIVOTDATA("Nombre de Détail Intervention",$A$6,"Code",Tableau12[[#This Row],[CODE Véhicule]])),"0",GETPIVOTDATA("Nombre de Détail Intervention",$A$6,"Code",Tableau12[[#This Row],[CODE Véhicule]]))</f>
        <v>0</v>
      </c>
      <c r="F174" s="28">
        <f>IF((540*26-Tableau12[[#This Row],[∑ temps d''arrêts]])/(Tableau12[[#This Row],[Nb d''arrêt]]+1)&lt;0,"0",(540*26-Tableau12[[#This Row],[∑ temps d''arrêts]])/(Tableau12[[#This Row],[Nb d''arrêt]]+1))</f>
        <v>14040</v>
      </c>
      <c r="G174" s="28">
        <f>Tableau12[[#This Row],[∑ temps d''arrêts]]/(Tableau12[[#This Row],[Nb d''arrêt]]+1)</f>
        <v>0</v>
      </c>
      <c r="H174" s="28">
        <f>(Tableau12[[#This Row],[MTBF]]/(Tableau12[[#This Row],[MTBF]]+Tableau12[[#This Row],[MTTR]]))*100</f>
        <v>100</v>
      </c>
      <c r="I174" s="28">
        <v>90</v>
      </c>
    </row>
    <row r="175" spans="1:9">
      <c r="A175" s="28">
        <v>410</v>
      </c>
      <c r="B175" s="28" t="s">
        <v>443</v>
      </c>
      <c r="C175" s="28" t="s">
        <v>411</v>
      </c>
      <c r="D175" s="28" t="str">
        <f>IF(ISERR(GETPIVOTDATA("Somme de Temps ",$A$6,"Code",Tableau12[[#This Row],[CODE Véhicule]])),"0",GETPIVOTDATA("Somme de Temps ",$A$6,"Code",Tableau12[[#This Row],[CODE Véhicule]]))</f>
        <v>0</v>
      </c>
      <c r="E175" s="28" t="str">
        <f>IF(ISERR(GETPIVOTDATA("Nombre de Détail Intervention",$A$6,"Code",Tableau12[[#This Row],[CODE Véhicule]])),"0",GETPIVOTDATA("Nombre de Détail Intervention",$A$6,"Code",Tableau12[[#This Row],[CODE Véhicule]]))</f>
        <v>0</v>
      </c>
      <c r="F175" s="28">
        <f>IF((540*26-Tableau12[[#This Row],[∑ temps d''arrêts]])/(Tableau12[[#This Row],[Nb d''arrêt]]+1)&lt;0,"0",(540*26-Tableau12[[#This Row],[∑ temps d''arrêts]])/(Tableau12[[#This Row],[Nb d''arrêt]]+1))</f>
        <v>14040</v>
      </c>
      <c r="G175" s="28">
        <f>Tableau12[[#This Row],[∑ temps d''arrêts]]/(Tableau12[[#This Row],[Nb d''arrêt]]+1)</f>
        <v>0</v>
      </c>
      <c r="H175" s="28">
        <f>(Tableau12[[#This Row],[MTBF]]/(Tableau12[[#This Row],[MTBF]]+Tableau12[[#This Row],[MTTR]]))*100</f>
        <v>100</v>
      </c>
      <c r="I175" s="28">
        <v>90</v>
      </c>
    </row>
    <row r="176" spans="1:9">
      <c r="A176" s="28">
        <v>438</v>
      </c>
      <c r="B176" s="28" t="s">
        <v>444</v>
      </c>
      <c r="C176" s="28" t="s">
        <v>406</v>
      </c>
      <c r="D176" s="28" t="str">
        <f>IF(ISERR(GETPIVOTDATA("Somme de Temps ",$A$6,"Code",Tableau12[[#This Row],[CODE Véhicule]])),"0",GETPIVOTDATA("Somme de Temps ",$A$6,"Code",Tableau12[[#This Row],[CODE Véhicule]]))</f>
        <v>0</v>
      </c>
      <c r="E176" s="28" t="str">
        <f>IF(ISERR(GETPIVOTDATA("Nombre de Détail Intervention",$A$6,"Code",Tableau12[[#This Row],[CODE Véhicule]])),"0",GETPIVOTDATA("Nombre de Détail Intervention",$A$6,"Code",Tableau12[[#This Row],[CODE Véhicule]]))</f>
        <v>0</v>
      </c>
      <c r="F176" s="28">
        <f>IF((540*26-Tableau12[[#This Row],[∑ temps d''arrêts]])/(Tableau12[[#This Row],[Nb d''arrêt]]+1)&lt;0,"0",(540*26-Tableau12[[#This Row],[∑ temps d''arrêts]])/(Tableau12[[#This Row],[Nb d''arrêt]]+1))</f>
        <v>14040</v>
      </c>
      <c r="G176" s="28">
        <f>Tableau12[[#This Row],[∑ temps d''arrêts]]/(Tableau12[[#This Row],[Nb d''arrêt]]+1)</f>
        <v>0</v>
      </c>
      <c r="H176" s="28">
        <f>(Tableau12[[#This Row],[MTBF]]/(Tableau12[[#This Row],[MTBF]]+Tableau12[[#This Row],[MTTR]]))*100</f>
        <v>100</v>
      </c>
      <c r="I176" s="28">
        <v>90</v>
      </c>
    </row>
    <row r="177" spans="1:9">
      <c r="A177" s="28">
        <v>439</v>
      </c>
      <c r="B177" s="28" t="s">
        <v>444</v>
      </c>
      <c r="C177" s="28" t="s">
        <v>407</v>
      </c>
      <c r="D177" s="28" t="str">
        <f>IF(ISERR(GETPIVOTDATA("Somme de Temps ",$A$6,"Code",Tableau12[[#This Row],[CODE Véhicule]])),"0",GETPIVOTDATA("Somme de Temps ",$A$6,"Code",Tableau12[[#This Row],[CODE Véhicule]]))</f>
        <v>0</v>
      </c>
      <c r="E177" s="28" t="str">
        <f>IF(ISERR(GETPIVOTDATA("Nombre de Détail Intervention",$A$6,"Code",Tableau12[[#This Row],[CODE Véhicule]])),"0",GETPIVOTDATA("Nombre de Détail Intervention",$A$6,"Code",Tableau12[[#This Row],[CODE Véhicule]]))</f>
        <v>0</v>
      </c>
      <c r="F177" s="28">
        <f>IF((540*26-Tableau12[[#This Row],[∑ temps d''arrêts]])/(Tableau12[[#This Row],[Nb d''arrêt]]+1)&lt;0,"0",(540*26-Tableau12[[#This Row],[∑ temps d''arrêts]])/(Tableau12[[#This Row],[Nb d''arrêt]]+1))</f>
        <v>14040</v>
      </c>
      <c r="G177" s="28">
        <f>Tableau12[[#This Row],[∑ temps d''arrêts]]/(Tableau12[[#This Row],[Nb d''arrêt]]+1)</f>
        <v>0</v>
      </c>
      <c r="H177" s="28">
        <f>(Tableau12[[#This Row],[MTBF]]/(Tableau12[[#This Row],[MTBF]]+Tableau12[[#This Row],[MTTR]]))*100</f>
        <v>100</v>
      </c>
      <c r="I177" s="28">
        <v>90</v>
      </c>
    </row>
  </sheetData>
  <mergeCells count="1">
    <mergeCell ref="C156:D156"/>
  </mergeCells>
  <pageMargins left="0.7" right="0.7" top="0.75" bottom="0.75" header="0.3" footer="0.3"/>
  <ignoredErrors>
    <ignoredError sqref="G145" calculatedColumn="1"/>
  </ignoredErrors>
  <drawing r:id="rId2"/>
  <tableParts count="3">
    <tablePart r:id="rId3"/>
    <tablePart r:id="rId4"/>
    <tablePart r:id="rId5"/>
  </tableParts>
  <extLst>
    <ext xmlns:x14="http://schemas.microsoft.com/office/spreadsheetml/2009/9/main" uri="{A8765BA9-456A-4dab-B4F3-ACF838C121DE}">
      <x14:slicerList>
        <x14:slicer r:id=""/>
      </x14:slicerList>
    </ext>
  </extLst>
</worksheet>
</file>

<file path=xl/worksheets/sheet7.xml><?xml version="1.0" encoding="utf-8"?>
<worksheet xmlns="http://schemas.openxmlformats.org/spreadsheetml/2006/main" xmlns:r="http://schemas.openxmlformats.org/officeDocument/2006/relationships">
  <sheetPr codeName="Feuil6">
    <tabColor rgb="FFFF0000"/>
  </sheetPr>
  <dimension ref="A1:E63"/>
  <sheetViews>
    <sheetView showGridLines="0" zoomScale="90" zoomScaleNormal="90" workbookViewId="0">
      <pane xSplit="3" ySplit="3" topLeftCell="D35" activePane="bottomRight" state="frozen"/>
      <selection pane="topRight" activeCell="D1" sqref="D1"/>
      <selection pane="bottomLeft" activeCell="A4" sqref="A4"/>
      <selection pane="bottomRight"/>
    </sheetView>
  </sheetViews>
  <sheetFormatPr baseColWidth="10" defaultColWidth="10.7109375" defaultRowHeight="15"/>
  <cols>
    <col min="1" max="1" width="21.42578125" customWidth="1"/>
    <col min="2" max="2" width="8.42578125" bestFit="1" customWidth="1"/>
    <col min="3" max="3" width="20.28515625" customWidth="1"/>
    <col min="4" max="4" width="84.140625" customWidth="1"/>
    <col min="5" max="5" width="46.7109375" customWidth="1"/>
    <col min="6" max="6" width="53.42578125" customWidth="1"/>
  </cols>
  <sheetData>
    <row r="1" spans="1:5">
      <c r="A1" s="68" t="s">
        <v>284</v>
      </c>
      <c r="B1" s="71" t="s">
        <v>233</v>
      </c>
    </row>
    <row r="2" spans="1:5">
      <c r="A2" s="68" t="s">
        <v>459</v>
      </c>
      <c r="B2" s="71" t="s">
        <v>231</v>
      </c>
    </row>
    <row r="4" spans="1:5">
      <c r="A4" s="68" t="s">
        <v>230</v>
      </c>
      <c r="B4" s="68" t="s">
        <v>4</v>
      </c>
      <c r="C4" s="68" t="s">
        <v>296</v>
      </c>
      <c r="D4" s="68" t="s">
        <v>280</v>
      </c>
      <c r="E4" s="68" t="s">
        <v>282</v>
      </c>
    </row>
    <row r="5" spans="1:5" s="74" customFormat="1">
      <c r="A5" s="69">
        <v>43878</v>
      </c>
      <c r="B5" s="70">
        <v>406</v>
      </c>
      <c r="C5" s="70" t="s">
        <v>444</v>
      </c>
      <c r="D5" s="70" t="s">
        <v>487</v>
      </c>
      <c r="E5" s="70" t="s">
        <v>231</v>
      </c>
    </row>
    <row r="6" spans="1:5" s="74" customFormat="1" ht="105">
      <c r="A6" s="69">
        <v>43883</v>
      </c>
      <c r="B6" s="70">
        <v>427</v>
      </c>
      <c r="C6" s="70" t="s">
        <v>439</v>
      </c>
      <c r="D6" s="70" t="s">
        <v>507</v>
      </c>
      <c r="E6" s="70" t="s">
        <v>231</v>
      </c>
    </row>
    <row r="7" spans="1:5" s="74" customFormat="1">
      <c r="A7" s="69">
        <v>43853</v>
      </c>
      <c r="B7" s="70">
        <v>426</v>
      </c>
      <c r="C7" s="70" t="s">
        <v>206</v>
      </c>
      <c r="D7" s="70" t="s">
        <v>497</v>
      </c>
      <c r="E7" s="70" t="s">
        <v>231</v>
      </c>
    </row>
    <row r="8" spans="1:5">
      <c r="A8" s="69">
        <v>43934</v>
      </c>
      <c r="B8" s="70">
        <v>481</v>
      </c>
      <c r="C8" s="70" t="s">
        <v>444</v>
      </c>
      <c r="D8" s="70" t="s">
        <v>532</v>
      </c>
      <c r="E8" s="70" t="s">
        <v>231</v>
      </c>
    </row>
    <row r="9" spans="1:5" ht="75">
      <c r="A9" s="69">
        <v>43970</v>
      </c>
      <c r="B9" s="70">
        <v>410</v>
      </c>
      <c r="C9" s="70" t="s">
        <v>443</v>
      </c>
      <c r="D9" s="70" t="s">
        <v>567</v>
      </c>
      <c r="E9" s="70" t="s">
        <v>231</v>
      </c>
    </row>
    <row r="10" spans="1:5">
      <c r="A10" s="71"/>
      <c r="B10" s="70">
        <v>431</v>
      </c>
      <c r="C10" s="70" t="s">
        <v>441</v>
      </c>
      <c r="D10" s="70" t="s">
        <v>528</v>
      </c>
      <c r="E10" s="70" t="s">
        <v>231</v>
      </c>
    </row>
    <row r="11" spans="1:5">
      <c r="A11" s="69">
        <v>43994</v>
      </c>
      <c r="B11" s="70">
        <v>430</v>
      </c>
      <c r="C11" s="70" t="s">
        <v>436</v>
      </c>
      <c r="D11" s="70" t="s">
        <v>521</v>
      </c>
      <c r="E11" s="70" t="s">
        <v>231</v>
      </c>
    </row>
    <row r="12" spans="1:5">
      <c r="A12" s="69">
        <v>44001</v>
      </c>
      <c r="B12" s="70">
        <v>429</v>
      </c>
      <c r="C12" s="70" t="s">
        <v>435</v>
      </c>
      <c r="D12" s="70" t="s">
        <v>345</v>
      </c>
      <c r="E12" s="70" t="s">
        <v>231</v>
      </c>
    </row>
    <row r="13" spans="1:5" ht="45">
      <c r="A13" s="69">
        <v>44007</v>
      </c>
      <c r="B13" s="70">
        <v>403</v>
      </c>
      <c r="C13" s="70" t="s">
        <v>443</v>
      </c>
      <c r="D13" s="70" t="s">
        <v>586</v>
      </c>
      <c r="E13" s="70" t="s">
        <v>231</v>
      </c>
    </row>
    <row r="14" spans="1:5">
      <c r="A14" s="69">
        <v>44026</v>
      </c>
      <c r="B14" s="70">
        <v>421</v>
      </c>
      <c r="C14" s="70" t="s">
        <v>439</v>
      </c>
      <c r="D14" s="70" t="s">
        <v>636</v>
      </c>
      <c r="E14" s="70" t="s">
        <v>231</v>
      </c>
    </row>
    <row r="15" spans="1:5">
      <c r="A15" s="69">
        <v>44029</v>
      </c>
      <c r="B15" s="70">
        <v>435</v>
      </c>
      <c r="C15" s="70" t="s">
        <v>432</v>
      </c>
      <c r="D15" s="70" t="s">
        <v>231</v>
      </c>
      <c r="E15" s="70" t="s">
        <v>231</v>
      </c>
    </row>
    <row r="16" spans="1:5" ht="30">
      <c r="A16" s="69">
        <v>44041</v>
      </c>
      <c r="B16" s="70">
        <v>433</v>
      </c>
      <c r="C16" s="70" t="s">
        <v>430</v>
      </c>
      <c r="D16" s="70" t="s">
        <v>671</v>
      </c>
      <c r="E16" s="70" t="s">
        <v>231</v>
      </c>
    </row>
    <row r="17" spans="1:5" ht="60">
      <c r="A17" s="69">
        <v>44081</v>
      </c>
      <c r="B17" s="70">
        <v>422</v>
      </c>
      <c r="C17" s="70" t="s">
        <v>437</v>
      </c>
      <c r="D17" s="70" t="s">
        <v>750</v>
      </c>
      <c r="E17" s="70" t="s">
        <v>231</v>
      </c>
    </row>
    <row r="18" spans="1:5" ht="105">
      <c r="A18" s="69">
        <v>44120</v>
      </c>
      <c r="B18" s="70">
        <v>417</v>
      </c>
      <c r="C18" s="70" t="s">
        <v>430</v>
      </c>
      <c r="D18" s="70" t="s">
        <v>800</v>
      </c>
      <c r="E18" s="70" t="s">
        <v>231</v>
      </c>
    </row>
    <row r="19" spans="1:5">
      <c r="A19" s="69">
        <v>44131</v>
      </c>
      <c r="B19" s="70">
        <v>479</v>
      </c>
      <c r="C19" s="70" t="s">
        <v>424</v>
      </c>
      <c r="D19" s="70" t="s">
        <v>528</v>
      </c>
      <c r="E19" s="70" t="s">
        <v>231</v>
      </c>
    </row>
    <row r="20" spans="1:5">
      <c r="A20" s="69">
        <v>44132</v>
      </c>
      <c r="B20" s="70">
        <v>413</v>
      </c>
      <c r="C20" s="70" t="s">
        <v>207</v>
      </c>
      <c r="D20" s="70" t="s">
        <v>773</v>
      </c>
      <c r="E20" s="70" t="s">
        <v>231</v>
      </c>
    </row>
    <row r="21" spans="1:5" ht="60">
      <c r="A21" s="69">
        <v>44144</v>
      </c>
      <c r="B21" s="70">
        <v>435</v>
      </c>
      <c r="C21" s="70" t="s">
        <v>432</v>
      </c>
      <c r="D21" s="70" t="s">
        <v>812</v>
      </c>
      <c r="E21" s="70" t="s">
        <v>231</v>
      </c>
    </row>
    <row r="22" spans="1:5" ht="45">
      <c r="A22" s="69">
        <v>44145</v>
      </c>
      <c r="B22" s="70">
        <v>429</v>
      </c>
      <c r="C22" s="70" t="s">
        <v>435</v>
      </c>
      <c r="D22" s="70" t="s">
        <v>863</v>
      </c>
      <c r="E22" s="70" t="s">
        <v>231</v>
      </c>
    </row>
    <row r="23" spans="1:5" ht="60">
      <c r="A23" s="71"/>
      <c r="B23" s="70">
        <v>430</v>
      </c>
      <c r="C23" s="70" t="s">
        <v>436</v>
      </c>
      <c r="D23" s="70" t="s">
        <v>817</v>
      </c>
      <c r="E23" s="70" t="s">
        <v>231</v>
      </c>
    </row>
    <row r="24" spans="1:5">
      <c r="A24" s="69">
        <v>44146</v>
      </c>
      <c r="B24" s="70">
        <v>481</v>
      </c>
      <c r="C24" s="70" t="s">
        <v>444</v>
      </c>
      <c r="D24" s="70" t="s">
        <v>372</v>
      </c>
      <c r="E24" s="70" t="s">
        <v>231</v>
      </c>
    </row>
    <row r="25" spans="1:5" ht="75">
      <c r="A25" s="69">
        <v>44165</v>
      </c>
      <c r="B25" s="70">
        <v>471</v>
      </c>
      <c r="C25" s="70" t="s">
        <v>423</v>
      </c>
      <c r="D25" s="70" t="s">
        <v>877</v>
      </c>
      <c r="E25" s="70" t="s">
        <v>231</v>
      </c>
    </row>
    <row r="26" spans="1:5" ht="60">
      <c r="A26" s="69">
        <v>44183</v>
      </c>
      <c r="B26" s="70">
        <v>472</v>
      </c>
      <c r="C26" s="70" t="s">
        <v>438</v>
      </c>
      <c r="D26" s="70" t="s">
        <v>867</v>
      </c>
      <c r="E26" s="70" t="s">
        <v>231</v>
      </c>
    </row>
    <row r="27" spans="1:5">
      <c r="A27" s="72">
        <v>44248</v>
      </c>
      <c r="B27" s="73">
        <v>434</v>
      </c>
      <c r="C27" s="73" t="s">
        <v>440</v>
      </c>
      <c r="D27" s="73" t="s">
        <v>967</v>
      </c>
      <c r="E27" s="73" t="s">
        <v>231</v>
      </c>
    </row>
    <row r="28" spans="1:5" ht="60">
      <c r="A28" s="72">
        <v>44288</v>
      </c>
      <c r="B28" s="73">
        <v>405</v>
      </c>
      <c r="C28" s="73" t="s">
        <v>431</v>
      </c>
      <c r="D28" s="73" t="s">
        <v>1045</v>
      </c>
      <c r="E28" s="73" t="s">
        <v>231</v>
      </c>
    </row>
    <row r="29" spans="1:5" ht="30">
      <c r="A29" s="72">
        <v>44281</v>
      </c>
      <c r="B29" s="73">
        <v>429</v>
      </c>
      <c r="C29" s="73" t="s">
        <v>435</v>
      </c>
      <c r="D29" s="73" t="s">
        <v>1051</v>
      </c>
      <c r="E29" s="73" t="s">
        <v>231</v>
      </c>
    </row>
    <row r="30" spans="1:5" ht="30">
      <c r="A30" s="69">
        <v>44293</v>
      </c>
      <c r="B30" s="70">
        <v>431</v>
      </c>
      <c r="C30" s="70" t="s">
        <v>1174</v>
      </c>
      <c r="D30" s="70" t="s">
        <v>1077</v>
      </c>
      <c r="E30" s="70" t="s">
        <v>231</v>
      </c>
    </row>
    <row r="31" spans="1:5" ht="105">
      <c r="A31" s="69">
        <v>44296</v>
      </c>
      <c r="B31" s="70">
        <v>436</v>
      </c>
      <c r="C31" s="70" t="s">
        <v>432</v>
      </c>
      <c r="D31" s="70" t="s">
        <v>1114</v>
      </c>
      <c r="E31" s="70" t="s">
        <v>231</v>
      </c>
    </row>
    <row r="32" spans="1:5">
      <c r="A32" s="69">
        <v>44300</v>
      </c>
      <c r="B32" s="70">
        <v>438</v>
      </c>
      <c r="C32" s="70" t="s">
        <v>444</v>
      </c>
      <c r="D32" s="70" t="s">
        <v>1101</v>
      </c>
      <c r="E32" s="70" t="s">
        <v>231</v>
      </c>
    </row>
    <row r="33" spans="1:5" ht="30">
      <c r="A33" s="69">
        <v>44305</v>
      </c>
      <c r="B33" s="70">
        <v>426</v>
      </c>
      <c r="C33" s="70" t="s">
        <v>206</v>
      </c>
      <c r="D33" s="70" t="s">
        <v>1105</v>
      </c>
      <c r="E33" s="70" t="s">
        <v>231</v>
      </c>
    </row>
    <row r="34" spans="1:5" ht="75">
      <c r="A34" s="69">
        <v>44424</v>
      </c>
      <c r="B34" s="70">
        <v>436</v>
      </c>
      <c r="C34" s="70" t="s">
        <v>432</v>
      </c>
      <c r="D34" s="70" t="s">
        <v>1267</v>
      </c>
      <c r="E34" s="70">
        <v>90</v>
      </c>
    </row>
    <row r="35" spans="1:5" ht="30">
      <c r="A35" s="69">
        <v>44431</v>
      </c>
      <c r="B35" s="70">
        <v>438</v>
      </c>
      <c r="C35" s="70" t="s">
        <v>444</v>
      </c>
      <c r="D35" s="70" t="s">
        <v>1280</v>
      </c>
      <c r="E35" s="70" t="s">
        <v>231</v>
      </c>
    </row>
    <row r="36" spans="1:5" ht="30">
      <c r="A36" s="69">
        <v>44435</v>
      </c>
      <c r="B36" s="70">
        <v>439</v>
      </c>
      <c r="C36" s="70" t="s">
        <v>444</v>
      </c>
      <c r="D36" s="70" t="s">
        <v>1282</v>
      </c>
      <c r="E36" s="70" t="s">
        <v>231</v>
      </c>
    </row>
    <row r="37" spans="1:5">
      <c r="A37" s="69">
        <v>44481</v>
      </c>
      <c r="B37" s="70">
        <v>439</v>
      </c>
      <c r="C37" s="70" t="s">
        <v>444</v>
      </c>
      <c r="D37" s="70" t="s">
        <v>340</v>
      </c>
      <c r="E37" s="70" t="s">
        <v>231</v>
      </c>
    </row>
    <row r="38" spans="1:5" ht="30">
      <c r="A38" s="69">
        <v>44484</v>
      </c>
      <c r="B38" s="70">
        <v>433</v>
      </c>
      <c r="C38" s="70" t="s">
        <v>430</v>
      </c>
      <c r="D38" s="70" t="s">
        <v>1491</v>
      </c>
      <c r="E38" s="70" t="s">
        <v>231</v>
      </c>
    </row>
    <row r="39" spans="1:5">
      <c r="A39" s="69">
        <v>44501</v>
      </c>
      <c r="B39" s="70">
        <v>430</v>
      </c>
      <c r="C39" s="70" t="s">
        <v>436</v>
      </c>
      <c r="D39" s="70" t="s">
        <v>1525</v>
      </c>
      <c r="E39" s="70" t="s">
        <v>231</v>
      </c>
    </row>
    <row r="40" spans="1:5" ht="60">
      <c r="A40" s="69">
        <v>44547</v>
      </c>
      <c r="B40" s="70">
        <v>431</v>
      </c>
      <c r="C40" s="70" t="s">
        <v>441</v>
      </c>
      <c r="D40" s="70" t="s">
        <v>1722</v>
      </c>
      <c r="E40" s="70" t="s">
        <v>231</v>
      </c>
    </row>
    <row r="41" spans="1:5">
      <c r="A41" s="69">
        <v>44728</v>
      </c>
      <c r="B41" s="70">
        <v>472</v>
      </c>
      <c r="C41" s="70" t="s">
        <v>438</v>
      </c>
      <c r="D41" s="70" t="s">
        <v>1859</v>
      </c>
      <c r="E41" s="70" t="s">
        <v>231</v>
      </c>
    </row>
    <row r="42" spans="1:5">
      <c r="A42" s="69">
        <v>44938</v>
      </c>
      <c r="B42" s="70">
        <v>411</v>
      </c>
      <c r="C42" s="70" t="s">
        <v>433</v>
      </c>
      <c r="D42" s="70" t="s">
        <v>231</v>
      </c>
      <c r="E42" s="70" t="s">
        <v>231</v>
      </c>
    </row>
    <row r="43" spans="1:5" ht="30">
      <c r="A43" s="69">
        <v>44944</v>
      </c>
      <c r="B43" s="70">
        <v>431</v>
      </c>
      <c r="C43" s="70" t="s">
        <v>441</v>
      </c>
      <c r="D43" s="70" t="s">
        <v>2072</v>
      </c>
      <c r="E43" s="70" t="s">
        <v>231</v>
      </c>
    </row>
    <row r="44" spans="1:5" ht="60">
      <c r="A44" s="69">
        <v>44949</v>
      </c>
      <c r="B44" s="70">
        <v>401</v>
      </c>
      <c r="C44" s="70" t="s">
        <v>431</v>
      </c>
      <c r="D44" s="70" t="s">
        <v>2067</v>
      </c>
      <c r="E44" s="70" t="s">
        <v>231</v>
      </c>
    </row>
    <row r="45" spans="1:5" ht="30">
      <c r="A45" s="69">
        <v>44950</v>
      </c>
      <c r="B45" s="70">
        <v>427</v>
      </c>
      <c r="C45" s="70" t="s">
        <v>439</v>
      </c>
      <c r="D45" s="70" t="s">
        <v>2069</v>
      </c>
      <c r="E45" s="70" t="s">
        <v>231</v>
      </c>
    </row>
    <row r="46" spans="1:5">
      <c r="A46" s="69">
        <v>44963</v>
      </c>
      <c r="B46" s="70">
        <v>435</v>
      </c>
      <c r="C46" s="70" t="s">
        <v>432</v>
      </c>
      <c r="D46" s="70" t="s">
        <v>2080</v>
      </c>
      <c r="E46" s="70" t="s">
        <v>231</v>
      </c>
    </row>
    <row r="47" spans="1:5" ht="30">
      <c r="A47" s="71"/>
      <c r="B47" s="70">
        <v>483</v>
      </c>
      <c r="C47" s="70" t="s">
        <v>1805</v>
      </c>
      <c r="D47" s="70" t="s">
        <v>2092</v>
      </c>
      <c r="E47" s="70" t="s">
        <v>231</v>
      </c>
    </row>
    <row r="48" spans="1:5">
      <c r="A48" s="69">
        <v>44964</v>
      </c>
      <c r="B48" s="70">
        <v>411</v>
      </c>
      <c r="C48" s="70" t="s">
        <v>433</v>
      </c>
      <c r="D48" s="70" t="s">
        <v>591</v>
      </c>
      <c r="E48" s="70" t="s">
        <v>231</v>
      </c>
    </row>
    <row r="49" spans="1:5">
      <c r="A49" s="69">
        <v>44965</v>
      </c>
      <c r="B49" s="70">
        <v>471</v>
      </c>
      <c r="C49" s="70" t="s">
        <v>423</v>
      </c>
      <c r="D49" s="70" t="s">
        <v>2079</v>
      </c>
      <c r="E49" s="70" t="s">
        <v>231</v>
      </c>
    </row>
    <row r="50" spans="1:5">
      <c r="A50" s="71"/>
      <c r="B50" s="70">
        <v>480</v>
      </c>
      <c r="C50" s="70" t="s">
        <v>444</v>
      </c>
      <c r="D50" s="70" t="s">
        <v>2076</v>
      </c>
      <c r="E50" s="70" t="s">
        <v>231</v>
      </c>
    </row>
    <row r="51" spans="1:5">
      <c r="A51" s="71"/>
      <c r="B51" s="70" t="s">
        <v>231</v>
      </c>
      <c r="C51" s="70" t="s">
        <v>1173</v>
      </c>
      <c r="D51" s="70" t="s">
        <v>2083</v>
      </c>
      <c r="E51" s="70" t="s">
        <v>231</v>
      </c>
    </row>
    <row r="52" spans="1:5">
      <c r="A52" s="69">
        <v>44966</v>
      </c>
      <c r="B52" s="70">
        <v>403</v>
      </c>
      <c r="C52" s="70" t="s">
        <v>443</v>
      </c>
      <c r="D52" s="70" t="s">
        <v>2086</v>
      </c>
      <c r="E52" s="70" t="s">
        <v>231</v>
      </c>
    </row>
    <row r="53" spans="1:5">
      <c r="A53" s="69">
        <v>44978</v>
      </c>
      <c r="B53" s="70">
        <v>471</v>
      </c>
      <c r="C53" s="70" t="s">
        <v>423</v>
      </c>
      <c r="D53" s="70" t="s">
        <v>758</v>
      </c>
      <c r="E53" s="70" t="s">
        <v>231</v>
      </c>
    </row>
    <row r="54" spans="1:5" ht="30">
      <c r="A54" s="69">
        <v>44979</v>
      </c>
      <c r="B54" s="70">
        <v>403</v>
      </c>
      <c r="C54" s="70" t="s">
        <v>443</v>
      </c>
      <c r="D54" s="70" t="s">
        <v>2099</v>
      </c>
      <c r="E54" s="70" t="s">
        <v>231</v>
      </c>
    </row>
    <row r="55" spans="1:5" ht="45">
      <c r="A55" s="69">
        <v>45018</v>
      </c>
      <c r="B55" s="70" t="s">
        <v>1244</v>
      </c>
      <c r="C55" s="70" t="s">
        <v>1173</v>
      </c>
      <c r="D55" s="70" t="s">
        <v>2152</v>
      </c>
      <c r="E55" s="70" t="s">
        <v>231</v>
      </c>
    </row>
    <row r="56" spans="1:5">
      <c r="A56" s="69">
        <v>45020</v>
      </c>
      <c r="B56" s="70">
        <v>406</v>
      </c>
      <c r="C56" s="70" t="s">
        <v>444</v>
      </c>
      <c r="D56" s="70" t="s">
        <v>2144</v>
      </c>
      <c r="E56" s="70" t="s">
        <v>231</v>
      </c>
    </row>
    <row r="57" spans="1:5" ht="105">
      <c r="A57" s="69">
        <v>45050</v>
      </c>
      <c r="B57" s="70">
        <v>429</v>
      </c>
      <c r="C57" s="70" t="s">
        <v>435</v>
      </c>
      <c r="D57" s="70" t="s">
        <v>2390</v>
      </c>
      <c r="E57" s="70" t="s">
        <v>231</v>
      </c>
    </row>
    <row r="58" spans="1:5" ht="75">
      <c r="A58" s="69">
        <v>45054</v>
      </c>
      <c r="B58" s="70">
        <v>434</v>
      </c>
      <c r="C58" s="70" t="s">
        <v>440</v>
      </c>
      <c r="D58" s="70" t="s">
        <v>2189</v>
      </c>
      <c r="E58" s="70" t="s">
        <v>231</v>
      </c>
    </row>
    <row r="59" spans="1:5" ht="30">
      <c r="A59" s="69">
        <v>45057</v>
      </c>
      <c r="B59" s="70">
        <v>419</v>
      </c>
      <c r="C59" s="70" t="s">
        <v>600</v>
      </c>
      <c r="D59" s="70" t="s">
        <v>2192</v>
      </c>
      <c r="E59" s="70" t="s">
        <v>231</v>
      </c>
    </row>
    <row r="60" spans="1:5">
      <c r="A60" s="69">
        <v>45064</v>
      </c>
      <c r="B60" s="70">
        <v>429</v>
      </c>
      <c r="C60" s="70" t="s">
        <v>435</v>
      </c>
      <c r="D60" s="70" t="s">
        <v>231</v>
      </c>
      <c r="E60" s="70" t="s">
        <v>231</v>
      </c>
    </row>
    <row r="61" spans="1:5">
      <c r="A61" s="69">
        <v>45074</v>
      </c>
      <c r="B61" s="70">
        <v>420</v>
      </c>
      <c r="C61" s="70" t="s">
        <v>725</v>
      </c>
      <c r="D61" s="70" t="s">
        <v>342</v>
      </c>
      <c r="E61" s="70" t="s">
        <v>231</v>
      </c>
    </row>
    <row r="62" spans="1:5" ht="30">
      <c r="A62" s="69">
        <v>45314</v>
      </c>
      <c r="B62" s="70">
        <v>428</v>
      </c>
      <c r="C62" s="70" t="s">
        <v>439</v>
      </c>
      <c r="D62" s="70" t="s">
        <v>2412</v>
      </c>
      <c r="E62" s="70" t="s">
        <v>231</v>
      </c>
    </row>
    <row r="63" spans="1:5">
      <c r="A63" s="69" t="s">
        <v>232</v>
      </c>
      <c r="B63" s="71"/>
      <c r="C63" s="71"/>
      <c r="D63" s="71"/>
      <c r="E63" s="7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sheetPr codeName="Feuil7">
    <tabColor rgb="FF00B0F0"/>
  </sheetPr>
  <dimension ref="A2:C69"/>
  <sheetViews>
    <sheetView showGridLines="0" zoomScale="90" zoomScaleNormal="90" workbookViewId="0">
      <pane xSplit="1" ySplit="3" topLeftCell="B31" activePane="bottomRight" state="frozen"/>
      <selection pane="topRight" activeCell="B1" sqref="B1"/>
      <selection pane="bottomLeft" activeCell="A4" sqref="A4"/>
      <selection pane="bottomRight"/>
    </sheetView>
  </sheetViews>
  <sheetFormatPr baseColWidth="10" defaultColWidth="10.7109375" defaultRowHeight="15"/>
  <cols>
    <col min="1" max="1" width="29.85546875" style="74" customWidth="1"/>
    <col min="2" max="2" width="81" style="71" customWidth="1"/>
    <col min="3" max="3" width="40.140625" bestFit="1" customWidth="1"/>
    <col min="4" max="6" width="10.7109375" customWidth="1"/>
    <col min="7" max="7" width="12.5703125" bestFit="1" customWidth="1"/>
  </cols>
  <sheetData>
    <row r="2" spans="1:3">
      <c r="A2" s="21" t="s">
        <v>284</v>
      </c>
      <c r="B2" t="s">
        <v>1174</v>
      </c>
    </row>
    <row r="3" spans="1:3">
      <c r="A3" s="21" t="s">
        <v>285</v>
      </c>
      <c r="B3" t="s">
        <v>233</v>
      </c>
    </row>
    <row r="4" spans="1:3">
      <c r="A4" s="21" t="s">
        <v>4</v>
      </c>
      <c r="B4" s="22">
        <v>401</v>
      </c>
    </row>
    <row r="6" spans="1:3">
      <c r="A6" s="21" t="s">
        <v>230</v>
      </c>
      <c r="B6" s="21" t="s">
        <v>280</v>
      </c>
      <c r="C6" s="21" t="s">
        <v>282</v>
      </c>
    </row>
    <row r="7" spans="1:3">
      <c r="A7" s="22" t="s">
        <v>1534</v>
      </c>
      <c r="B7"/>
    </row>
    <row r="8" spans="1:3">
      <c r="A8" s="24">
        <v>44076</v>
      </c>
      <c r="B8" s="22" t="s">
        <v>326</v>
      </c>
      <c r="C8" s="22" t="s">
        <v>231</v>
      </c>
    </row>
    <row r="9" spans="1:3">
      <c r="A9"/>
      <c r="B9" s="22" t="s">
        <v>706</v>
      </c>
      <c r="C9" s="22" t="s">
        <v>231</v>
      </c>
    </row>
    <row r="10" spans="1:3">
      <c r="A10" s="24">
        <v>44255</v>
      </c>
      <c r="B10" s="22" t="s">
        <v>1007</v>
      </c>
      <c r="C10" s="22" t="s">
        <v>231</v>
      </c>
    </row>
    <row r="11" spans="1:3">
      <c r="A11" s="24">
        <v>44543</v>
      </c>
      <c r="B11" s="22" t="s">
        <v>1596</v>
      </c>
      <c r="C11" s="22" t="s">
        <v>231</v>
      </c>
    </row>
    <row r="12" spans="1:3">
      <c r="A12" s="22" t="s">
        <v>402</v>
      </c>
      <c r="B12"/>
    </row>
    <row r="13" spans="1:3">
      <c r="A13" s="24">
        <v>43770</v>
      </c>
      <c r="B13" s="22" t="s">
        <v>309</v>
      </c>
      <c r="C13" s="22" t="s">
        <v>231</v>
      </c>
    </row>
    <row r="14" spans="1:3">
      <c r="A14" s="22" t="s">
        <v>394</v>
      </c>
      <c r="B14"/>
    </row>
    <row r="15" spans="1:3">
      <c r="A15" s="24">
        <v>44166</v>
      </c>
      <c r="B15" s="22" t="s">
        <v>842</v>
      </c>
      <c r="C15" s="22" t="s">
        <v>231</v>
      </c>
    </row>
    <row r="16" spans="1:3">
      <c r="A16" s="24">
        <v>45187</v>
      </c>
      <c r="B16" s="22" t="s">
        <v>2303</v>
      </c>
      <c r="C16" s="22" t="s">
        <v>231</v>
      </c>
    </row>
    <row r="17" spans="1:3">
      <c r="A17" s="22" t="s">
        <v>393</v>
      </c>
      <c r="B17"/>
    </row>
    <row r="18" spans="1:3">
      <c r="A18" s="24">
        <v>43914</v>
      </c>
      <c r="B18" s="22" t="s">
        <v>529</v>
      </c>
      <c r="C18" s="22" t="s">
        <v>231</v>
      </c>
    </row>
    <row r="19" spans="1:3">
      <c r="A19" s="22" t="s">
        <v>560</v>
      </c>
      <c r="B19"/>
    </row>
    <row r="20" spans="1:3">
      <c r="A20" s="24">
        <v>44484</v>
      </c>
      <c r="B20" s="22" t="s">
        <v>1492</v>
      </c>
      <c r="C20" s="22" t="s">
        <v>231</v>
      </c>
    </row>
    <row r="21" spans="1:3">
      <c r="A21" s="24">
        <v>44499</v>
      </c>
      <c r="B21" s="22" t="s">
        <v>530</v>
      </c>
      <c r="C21" s="22" t="s">
        <v>231</v>
      </c>
    </row>
    <row r="22" spans="1:3">
      <c r="A22" s="24">
        <v>44585</v>
      </c>
      <c r="B22" s="22" t="s">
        <v>530</v>
      </c>
      <c r="C22" s="22" t="s">
        <v>231</v>
      </c>
    </row>
    <row r="23" spans="1:3">
      <c r="A23" s="22" t="s">
        <v>511</v>
      </c>
      <c r="B23"/>
    </row>
    <row r="24" spans="1:3">
      <c r="A24" s="24">
        <v>44146</v>
      </c>
      <c r="B24" s="22" t="s">
        <v>820</v>
      </c>
      <c r="C24" s="22" t="s">
        <v>231</v>
      </c>
    </row>
    <row r="25" spans="1:3">
      <c r="A25" s="24">
        <v>44198</v>
      </c>
      <c r="B25" s="22" t="s">
        <v>913</v>
      </c>
      <c r="C25" s="22" t="s">
        <v>231</v>
      </c>
    </row>
    <row r="26" spans="1:3">
      <c r="A26" s="24">
        <v>44648</v>
      </c>
      <c r="B26" s="22" t="s">
        <v>1771</v>
      </c>
      <c r="C26" s="22" t="s">
        <v>231</v>
      </c>
    </row>
    <row r="27" spans="1:3">
      <c r="A27" s="22" t="s">
        <v>397</v>
      </c>
      <c r="B27"/>
    </row>
    <row r="28" spans="1:3">
      <c r="A28" s="24">
        <v>44050</v>
      </c>
      <c r="B28" s="22" t="s">
        <v>709</v>
      </c>
      <c r="C28" s="22" t="s">
        <v>231</v>
      </c>
    </row>
    <row r="29" spans="1:3">
      <c r="A29" s="24">
        <v>44408</v>
      </c>
      <c r="B29" s="22" t="s">
        <v>1308</v>
      </c>
      <c r="C29" s="22" t="s">
        <v>231</v>
      </c>
    </row>
    <row r="30" spans="1:3">
      <c r="A30" s="24">
        <v>44587</v>
      </c>
      <c r="B30" s="22" t="s">
        <v>1667</v>
      </c>
      <c r="C30" s="22" t="s">
        <v>231</v>
      </c>
    </row>
    <row r="31" spans="1:3">
      <c r="A31" s="24">
        <v>45209</v>
      </c>
      <c r="B31" s="22" t="s">
        <v>2361</v>
      </c>
      <c r="C31" s="22" t="s">
        <v>231</v>
      </c>
    </row>
    <row r="32" spans="1:3">
      <c r="A32" s="22" t="s">
        <v>392</v>
      </c>
      <c r="B32"/>
    </row>
    <row r="33" spans="1:3">
      <c r="A33" s="24">
        <v>44460</v>
      </c>
      <c r="B33" s="22" t="s">
        <v>1320</v>
      </c>
      <c r="C33" s="22" t="s">
        <v>231</v>
      </c>
    </row>
    <row r="34" spans="1:3">
      <c r="A34" s="24">
        <v>45074</v>
      </c>
      <c r="B34" s="22" t="s">
        <v>2207</v>
      </c>
      <c r="C34" s="22" t="s">
        <v>231</v>
      </c>
    </row>
    <row r="35" spans="1:3">
      <c r="A35" s="22" t="s">
        <v>353</v>
      </c>
      <c r="B35"/>
    </row>
    <row r="36" spans="1:3">
      <c r="A36" s="24">
        <v>43851</v>
      </c>
      <c r="B36" s="22" t="s">
        <v>449</v>
      </c>
      <c r="C36" s="22" t="s">
        <v>231</v>
      </c>
    </row>
    <row r="37" spans="1:3">
      <c r="A37" s="24">
        <v>44180</v>
      </c>
      <c r="B37" s="22" t="s">
        <v>861</v>
      </c>
      <c r="C37" s="22" t="s">
        <v>231</v>
      </c>
    </row>
    <row r="38" spans="1:3">
      <c r="A38" s="22" t="s">
        <v>390</v>
      </c>
      <c r="B38"/>
    </row>
    <row r="39" spans="1:3">
      <c r="A39" s="24">
        <v>43822</v>
      </c>
      <c r="B39" s="22" t="s">
        <v>355</v>
      </c>
      <c r="C39" s="22" t="s">
        <v>231</v>
      </c>
    </row>
    <row r="40" spans="1:3">
      <c r="A40" s="22" t="s">
        <v>774</v>
      </c>
      <c r="B40"/>
    </row>
    <row r="41" spans="1:3">
      <c r="A41" s="24">
        <v>44648</v>
      </c>
      <c r="B41" s="22" t="s">
        <v>1188</v>
      </c>
      <c r="C41" s="22" t="s">
        <v>231</v>
      </c>
    </row>
    <row r="42" spans="1:3">
      <c r="A42" s="24">
        <v>44974</v>
      </c>
      <c r="B42" s="22" t="s">
        <v>2087</v>
      </c>
      <c r="C42" s="22" t="s">
        <v>231</v>
      </c>
    </row>
    <row r="43" spans="1:3">
      <c r="A43" s="22" t="s">
        <v>403</v>
      </c>
      <c r="B43"/>
    </row>
    <row r="44" spans="1:3">
      <c r="A44" s="24">
        <v>43880</v>
      </c>
      <c r="B44" s="22" t="s">
        <v>479</v>
      </c>
      <c r="C44" s="22" t="s">
        <v>231</v>
      </c>
    </row>
    <row r="45" spans="1:3">
      <c r="A45" s="22" t="s">
        <v>389</v>
      </c>
      <c r="B45"/>
    </row>
    <row r="46" spans="1:3">
      <c r="A46" s="24">
        <v>43811</v>
      </c>
      <c r="B46" s="22" t="s">
        <v>311</v>
      </c>
      <c r="C46" s="22" t="s">
        <v>231</v>
      </c>
    </row>
    <row r="47" spans="1:3">
      <c r="A47" s="22" t="s">
        <v>533</v>
      </c>
      <c r="B47"/>
    </row>
    <row r="48" spans="1:3">
      <c r="A48" s="24">
        <v>43963</v>
      </c>
      <c r="B48" s="22" t="s">
        <v>561</v>
      </c>
      <c r="C48" s="22" t="s">
        <v>231</v>
      </c>
    </row>
    <row r="49" spans="1:3">
      <c r="A49" s="22" t="s">
        <v>537</v>
      </c>
      <c r="B49"/>
    </row>
    <row r="50" spans="1:3">
      <c r="A50" s="24">
        <v>44333</v>
      </c>
      <c r="B50" s="22" t="s">
        <v>1143</v>
      </c>
      <c r="C50" s="22" t="s">
        <v>231</v>
      </c>
    </row>
    <row r="51" spans="1:3">
      <c r="A51" s="22" t="s">
        <v>545</v>
      </c>
      <c r="B51"/>
    </row>
    <row r="52" spans="1:3">
      <c r="A52" s="24">
        <v>44190</v>
      </c>
      <c r="B52" s="22" t="s">
        <v>882</v>
      </c>
      <c r="C52" s="22" t="s">
        <v>231</v>
      </c>
    </row>
    <row r="53" spans="1:3">
      <c r="A53" s="22" t="s">
        <v>2142</v>
      </c>
      <c r="B53"/>
    </row>
    <row r="54" spans="1:3">
      <c r="A54" s="24">
        <v>45050</v>
      </c>
      <c r="B54" s="22" t="s">
        <v>2184</v>
      </c>
      <c r="C54" s="22" t="s">
        <v>231</v>
      </c>
    </row>
    <row r="55" spans="1:3">
      <c r="A55" s="22" t="s">
        <v>1840</v>
      </c>
      <c r="B55"/>
    </row>
    <row r="56" spans="1:3">
      <c r="A56" s="24">
        <v>44705</v>
      </c>
      <c r="B56" s="22" t="s">
        <v>1841</v>
      </c>
      <c r="C56" s="22" t="s">
        <v>231</v>
      </c>
    </row>
    <row r="57" spans="1:3">
      <c r="A57" s="22" t="s">
        <v>2066</v>
      </c>
      <c r="B57"/>
    </row>
    <row r="58" spans="1:3">
      <c r="A58" s="24">
        <v>44949</v>
      </c>
      <c r="B58" s="22" t="s">
        <v>2067</v>
      </c>
      <c r="C58" s="22" t="s">
        <v>231</v>
      </c>
    </row>
    <row r="59" spans="1:3">
      <c r="A59" s="22" t="s">
        <v>2393</v>
      </c>
      <c r="B59"/>
    </row>
    <row r="60" spans="1:3">
      <c r="A60" s="24">
        <v>45352</v>
      </c>
      <c r="B60" s="22" t="s">
        <v>2499</v>
      </c>
      <c r="C60" s="22" t="s">
        <v>231</v>
      </c>
    </row>
    <row r="61" spans="1:3">
      <c r="A61" s="24">
        <v>45376</v>
      </c>
      <c r="B61" s="22" t="s">
        <v>2518</v>
      </c>
      <c r="C61" s="22" t="s">
        <v>231</v>
      </c>
    </row>
    <row r="62" spans="1:3">
      <c r="A62" s="24">
        <v>45414</v>
      </c>
      <c r="B62" s="22" t="s">
        <v>2551</v>
      </c>
      <c r="C62" s="22" t="s">
        <v>231</v>
      </c>
    </row>
    <row r="63" spans="1:3">
      <c r="A63" s="24">
        <v>45451</v>
      </c>
      <c r="B63" s="22" t="s">
        <v>2581</v>
      </c>
      <c r="C63" s="22" t="s">
        <v>231</v>
      </c>
    </row>
    <row r="64" spans="1:3">
      <c r="A64" s="24">
        <v>45458</v>
      </c>
      <c r="B64" s="22" t="s">
        <v>2587</v>
      </c>
      <c r="C64" s="22" t="s">
        <v>231</v>
      </c>
    </row>
    <row r="65" spans="1:3">
      <c r="A65" s="24">
        <v>45467</v>
      </c>
      <c r="B65" s="22" t="s">
        <v>2589</v>
      </c>
      <c r="C65" s="22" t="s">
        <v>231</v>
      </c>
    </row>
    <row r="66" spans="1:3">
      <c r="A66" s="24">
        <v>45517</v>
      </c>
      <c r="B66" s="22" t="s">
        <v>2629</v>
      </c>
      <c r="C66" s="22" t="s">
        <v>231</v>
      </c>
    </row>
    <row r="67" spans="1:3">
      <c r="A67" s="22" t="s">
        <v>634</v>
      </c>
      <c r="B67"/>
    </row>
    <row r="68" spans="1:3">
      <c r="A68" s="24">
        <v>45414</v>
      </c>
      <c r="B68" s="22" t="s">
        <v>2553</v>
      </c>
      <c r="C68" s="22" t="s">
        <v>231</v>
      </c>
    </row>
    <row r="69" spans="1:3">
      <c r="A69" s="22" t="s">
        <v>232</v>
      </c>
      <c r="B6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sheetPr codeName="Feuil9">
    <tabColor theme="5" tint="-0.249977111117893"/>
  </sheetPr>
  <dimension ref="A1:CG40"/>
  <sheetViews>
    <sheetView showGridLines="0" zoomScale="80" zoomScaleNormal="80" workbookViewId="0">
      <pane xSplit="5" ySplit="7" topLeftCell="F8" activePane="bottomRight" state="frozen"/>
      <selection pane="topRight" activeCell="F1" sqref="F1"/>
      <selection pane="bottomLeft" activeCell="A8" sqref="A8"/>
      <selection pane="bottomRight" activeCell="I16" sqref="I16"/>
    </sheetView>
  </sheetViews>
  <sheetFormatPr baseColWidth="10" defaultRowHeight="15" customHeight="1"/>
  <cols>
    <col min="1" max="1" width="14.5703125" bestFit="1" customWidth="1"/>
    <col min="2" max="2" width="20.85546875" customWidth="1"/>
    <col min="3" max="3" width="19.42578125" customWidth="1"/>
    <col min="4" max="4" width="15.28515625" customWidth="1"/>
    <col min="5" max="5" width="13.28515625" customWidth="1"/>
    <col min="6" max="6" width="15.7109375" customWidth="1"/>
    <col min="7" max="8" width="13.28515625" customWidth="1"/>
    <col min="9" max="9" width="17.85546875" customWidth="1"/>
    <col min="10" max="20" width="13.28515625" customWidth="1"/>
    <col min="21" max="21" width="17" bestFit="1" customWidth="1"/>
    <col min="22" max="22" width="16.42578125" bestFit="1" customWidth="1"/>
    <col min="23" max="23" width="20.7109375" bestFit="1" customWidth="1"/>
    <col min="24" max="50" width="13.28515625" customWidth="1"/>
    <col min="51" max="51" width="18" bestFit="1" customWidth="1"/>
    <col min="52" max="55" width="13.28515625" customWidth="1"/>
    <col min="56" max="56" width="18" bestFit="1" customWidth="1"/>
    <col min="57" max="57" width="15.28515625" bestFit="1" customWidth="1"/>
    <col min="58" max="58" width="21.7109375" bestFit="1" customWidth="1"/>
    <col min="59" max="85" width="13.28515625" customWidth="1"/>
  </cols>
  <sheetData>
    <row r="1" spans="1:85" ht="7.5" customHeight="1"/>
    <row r="2" spans="1:85" ht="7.5" customHeight="1"/>
    <row r="3" spans="1:85" ht="7.5" customHeight="1"/>
    <row r="4" spans="1:85" ht="7.5" customHeight="1"/>
    <row r="5" spans="1:85" ht="7.5" customHeight="1" thickBot="1"/>
    <row r="6" spans="1:85" ht="37.5" customHeight="1" thickBot="1">
      <c r="F6" s="267" t="s">
        <v>1348</v>
      </c>
      <c r="G6" s="267"/>
      <c r="H6" s="267"/>
      <c r="I6" s="267"/>
      <c r="J6" s="267"/>
      <c r="K6" s="264" t="s">
        <v>1349</v>
      </c>
      <c r="L6" s="264"/>
      <c r="M6" s="264"/>
      <c r="N6" s="264"/>
      <c r="O6" s="264"/>
      <c r="P6" s="268" t="s">
        <v>1350</v>
      </c>
      <c r="Q6" s="268"/>
      <c r="R6" s="268"/>
      <c r="S6" s="268"/>
      <c r="T6" s="268"/>
      <c r="U6" s="269" t="s">
        <v>1351</v>
      </c>
      <c r="V6" s="269"/>
      <c r="W6" s="269"/>
      <c r="X6" s="269"/>
      <c r="Y6" s="269"/>
      <c r="Z6" s="270" t="s">
        <v>1352</v>
      </c>
      <c r="AA6" s="270"/>
      <c r="AB6" s="270"/>
      <c r="AC6" s="270"/>
      <c r="AD6" s="270"/>
      <c r="AE6" s="266" t="s">
        <v>1353</v>
      </c>
      <c r="AF6" s="266"/>
      <c r="AG6" s="266"/>
      <c r="AH6" s="266"/>
      <c r="AI6" s="266"/>
      <c r="AJ6" s="265" t="s">
        <v>1354</v>
      </c>
      <c r="AK6" s="265"/>
      <c r="AL6" s="265"/>
      <c r="AM6" s="265"/>
      <c r="AN6" s="265"/>
      <c r="AO6" s="264" t="s">
        <v>1355</v>
      </c>
      <c r="AP6" s="264"/>
      <c r="AQ6" s="264"/>
      <c r="AR6" s="264"/>
      <c r="AS6" s="264"/>
      <c r="AT6" s="264" t="s">
        <v>1356</v>
      </c>
      <c r="AU6" s="264"/>
      <c r="AV6" s="264"/>
      <c r="AW6" s="264"/>
      <c r="AX6" s="264"/>
      <c r="AY6" s="264" t="s">
        <v>1357</v>
      </c>
      <c r="AZ6" s="264"/>
      <c r="BA6" s="264"/>
      <c r="BB6" s="264"/>
      <c r="BC6" s="264"/>
      <c r="BD6" s="264" t="s">
        <v>1358</v>
      </c>
      <c r="BE6" s="264"/>
      <c r="BF6" s="264"/>
      <c r="BG6" s="264"/>
      <c r="BH6" s="264"/>
      <c r="BI6" s="264" t="s">
        <v>1359</v>
      </c>
      <c r="BJ6" s="264"/>
      <c r="BK6" s="264"/>
      <c r="BL6" s="264"/>
      <c r="BM6" s="264"/>
      <c r="BN6" s="264" t="s">
        <v>1360</v>
      </c>
      <c r="BO6" s="264"/>
      <c r="BP6" s="264"/>
      <c r="BQ6" s="264"/>
      <c r="BR6" s="264"/>
      <c r="BS6" s="264" t="s">
        <v>1361</v>
      </c>
      <c r="BT6" s="264"/>
      <c r="BU6" s="264"/>
      <c r="BV6" s="264"/>
      <c r="BW6" s="264"/>
      <c r="BX6" s="264" t="s">
        <v>1362</v>
      </c>
      <c r="BY6" s="264"/>
      <c r="BZ6" s="264"/>
      <c r="CA6" s="264"/>
      <c r="CB6" s="264"/>
      <c r="CC6" s="264" t="s">
        <v>1363</v>
      </c>
      <c r="CD6" s="264"/>
      <c r="CE6" s="264"/>
      <c r="CF6" s="264"/>
      <c r="CG6" s="264"/>
    </row>
    <row r="7" spans="1:85" ht="15" customHeight="1">
      <c r="A7" s="28" t="s">
        <v>4</v>
      </c>
      <c r="B7" s="28" t="s">
        <v>1364</v>
      </c>
      <c r="C7" s="28" t="s">
        <v>290</v>
      </c>
      <c r="D7" s="28" t="s">
        <v>291</v>
      </c>
      <c r="E7" s="28" t="s">
        <v>1365</v>
      </c>
      <c r="F7" s="28" t="s">
        <v>1366</v>
      </c>
      <c r="G7" s="28" t="s">
        <v>1367</v>
      </c>
      <c r="H7" s="28" t="s">
        <v>1368</v>
      </c>
      <c r="I7" s="28" t="s">
        <v>1369</v>
      </c>
      <c r="J7" s="28" t="s">
        <v>1370</v>
      </c>
      <c r="K7" s="28" t="s">
        <v>1371</v>
      </c>
      <c r="L7" s="28" t="s">
        <v>1372</v>
      </c>
      <c r="M7" s="28" t="s">
        <v>1373</v>
      </c>
      <c r="N7" s="28" t="s">
        <v>1374</v>
      </c>
      <c r="O7" s="28" t="s">
        <v>1375</v>
      </c>
      <c r="P7" s="28" t="s">
        <v>1376</v>
      </c>
      <c r="Q7" s="28" t="s">
        <v>1377</v>
      </c>
      <c r="R7" s="28" t="s">
        <v>1378</v>
      </c>
      <c r="S7" s="28" t="s">
        <v>1379</v>
      </c>
      <c r="T7" s="28" t="s">
        <v>1380</v>
      </c>
      <c r="U7" s="28" t="s">
        <v>1381</v>
      </c>
      <c r="V7" s="28" t="s">
        <v>1382</v>
      </c>
      <c r="W7" s="28" t="s">
        <v>1383</v>
      </c>
      <c r="X7" s="28" t="s">
        <v>1384</v>
      </c>
      <c r="Y7" s="28" t="s">
        <v>1385</v>
      </c>
      <c r="Z7" s="28" t="s">
        <v>1386</v>
      </c>
      <c r="AA7" s="28" t="s">
        <v>1387</v>
      </c>
      <c r="AB7" s="28" t="s">
        <v>1388</v>
      </c>
      <c r="AC7" s="28" t="s">
        <v>1389</v>
      </c>
      <c r="AD7" s="28" t="s">
        <v>1390</v>
      </c>
      <c r="AE7" s="28" t="s">
        <v>1391</v>
      </c>
      <c r="AF7" s="28" t="s">
        <v>1392</v>
      </c>
      <c r="AG7" s="28" t="s">
        <v>1393</v>
      </c>
      <c r="AH7" s="28" t="s">
        <v>1394</v>
      </c>
      <c r="AI7" s="28" t="s">
        <v>1395</v>
      </c>
      <c r="AJ7" s="28" t="s">
        <v>1396</v>
      </c>
      <c r="AK7" s="28" t="s">
        <v>1397</v>
      </c>
      <c r="AL7" s="28" t="s">
        <v>1398</v>
      </c>
      <c r="AM7" s="28" t="s">
        <v>1399</v>
      </c>
      <c r="AN7" s="28" t="s">
        <v>1400</v>
      </c>
      <c r="AO7" s="28" t="s">
        <v>1401</v>
      </c>
      <c r="AP7" s="28" t="s">
        <v>1402</v>
      </c>
      <c r="AQ7" s="28" t="s">
        <v>1403</v>
      </c>
      <c r="AR7" s="28" t="s">
        <v>1404</v>
      </c>
      <c r="AS7" s="28" t="s">
        <v>1405</v>
      </c>
      <c r="AT7" s="28" t="s">
        <v>1406</v>
      </c>
      <c r="AU7" s="28" t="s">
        <v>1407</v>
      </c>
      <c r="AV7" s="28" t="s">
        <v>1408</v>
      </c>
      <c r="AW7" s="28" t="s">
        <v>1409</v>
      </c>
      <c r="AX7" s="28" t="s">
        <v>1410</v>
      </c>
      <c r="AY7" s="28" t="s">
        <v>1411</v>
      </c>
      <c r="AZ7" s="28" t="s">
        <v>1412</v>
      </c>
      <c r="BA7" s="28" t="s">
        <v>1413</v>
      </c>
      <c r="BB7" s="28" t="s">
        <v>1414</v>
      </c>
      <c r="BC7" s="28" t="s">
        <v>1415</v>
      </c>
      <c r="BD7" s="28" t="s">
        <v>1416</v>
      </c>
      <c r="BE7" s="28" t="s">
        <v>1417</v>
      </c>
      <c r="BF7" s="28" t="s">
        <v>1418</v>
      </c>
      <c r="BG7" s="28" t="s">
        <v>1419</v>
      </c>
      <c r="BH7" s="28" t="s">
        <v>1420</v>
      </c>
      <c r="BI7" s="28" t="s">
        <v>1421</v>
      </c>
      <c r="BJ7" s="28" t="s">
        <v>1422</v>
      </c>
      <c r="BK7" s="28" t="s">
        <v>1423</v>
      </c>
      <c r="BL7" s="28" t="s">
        <v>1424</v>
      </c>
      <c r="BM7" s="28" t="s">
        <v>1425</v>
      </c>
      <c r="BN7" s="28" t="s">
        <v>1426</v>
      </c>
      <c r="BO7" s="28" t="s">
        <v>1427</v>
      </c>
      <c r="BP7" s="28" t="s">
        <v>1428</v>
      </c>
      <c r="BQ7" s="28" t="s">
        <v>1429</v>
      </c>
      <c r="BR7" s="28" t="s">
        <v>1430</v>
      </c>
      <c r="BS7" s="28" t="s">
        <v>1431</v>
      </c>
      <c r="BT7" s="28" t="s">
        <v>1432</v>
      </c>
      <c r="BU7" s="28" t="s">
        <v>1433</v>
      </c>
      <c r="BV7" s="28" t="s">
        <v>1434</v>
      </c>
      <c r="BW7" s="28" t="s">
        <v>1435</v>
      </c>
      <c r="BX7" s="28" t="s">
        <v>1436</v>
      </c>
      <c r="BY7" s="28" t="s">
        <v>1437</v>
      </c>
      <c r="BZ7" s="28" t="s">
        <v>1438</v>
      </c>
      <c r="CA7" s="28" t="s">
        <v>1439</v>
      </c>
      <c r="CB7" s="28" t="s">
        <v>1440</v>
      </c>
      <c r="CC7" s="28" t="s">
        <v>1441</v>
      </c>
      <c r="CD7" s="28" t="s">
        <v>1442</v>
      </c>
      <c r="CE7" s="28" t="s">
        <v>1443</v>
      </c>
      <c r="CF7" s="28" t="s">
        <v>1444</v>
      </c>
      <c r="CG7" s="28" t="s">
        <v>1445</v>
      </c>
    </row>
    <row r="8" spans="1:85" ht="30" customHeight="1">
      <c r="A8" s="78">
        <v>401</v>
      </c>
      <c r="B8" s="78" t="s">
        <v>294</v>
      </c>
      <c r="C8" s="78" t="s">
        <v>431</v>
      </c>
      <c r="D8" s="78" t="s">
        <v>418</v>
      </c>
      <c r="E8" s="78">
        <v>812100</v>
      </c>
      <c r="F8" s="78" t="s">
        <v>1875</v>
      </c>
      <c r="G8" s="78" t="s">
        <v>1876</v>
      </c>
      <c r="H8" s="79">
        <v>45075</v>
      </c>
      <c r="I8" s="78">
        <v>795222</v>
      </c>
      <c r="J8" s="78">
        <f>80000-(Tableau35[[#This Row],[Compteur]]-Tableau35[[#This Row],[Compteur1]])</f>
        <v>63122</v>
      </c>
      <c r="K8" s="123" t="s">
        <v>1875</v>
      </c>
      <c r="L8" s="123" t="s">
        <v>2311</v>
      </c>
      <c r="M8" s="79">
        <v>45075</v>
      </c>
      <c r="N8" s="78">
        <v>795222</v>
      </c>
      <c r="O8" s="78">
        <f>80000-(Tableau35[[#This Row],[Compteur]]-Tableau35[[#This Row],[Compteur2]])</f>
        <v>63122</v>
      </c>
      <c r="P8" s="78" t="s">
        <v>1877</v>
      </c>
      <c r="Q8" s="78" t="s">
        <v>1879</v>
      </c>
      <c r="R8" s="79">
        <v>44575</v>
      </c>
      <c r="S8" s="78">
        <v>780111</v>
      </c>
      <c r="T8" s="78">
        <f>80000-(Tableau35[[#This Row],[Compteur]]-Tableau35[[#This Row],[Compteur3]])</f>
        <v>48011</v>
      </c>
      <c r="U8" s="78" t="s">
        <v>1877</v>
      </c>
      <c r="V8" s="78" t="s">
        <v>1878</v>
      </c>
      <c r="W8" s="79">
        <v>44575</v>
      </c>
      <c r="X8" s="78">
        <v>780111</v>
      </c>
      <c r="Y8" s="78">
        <f>80000-(Tableau35[[#This Row],[Compteur]]-Tableau35[[#This Row],[Compteur4]])</f>
        <v>48011</v>
      </c>
      <c r="Z8" s="78" t="s">
        <v>1877</v>
      </c>
      <c r="AA8" s="78" t="s">
        <v>1880</v>
      </c>
      <c r="AB8" s="79">
        <v>44445</v>
      </c>
      <c r="AC8" s="78">
        <v>740222</v>
      </c>
      <c r="AD8" s="78">
        <f>80000-(Tableau35[[#This Row],[Compteur]]-Tableau35[[#This Row],[Compteur5]])</f>
        <v>8122</v>
      </c>
      <c r="AE8" s="78" t="s">
        <v>1877</v>
      </c>
      <c r="AF8" s="78" t="s">
        <v>1881</v>
      </c>
      <c r="AG8" s="79">
        <v>44445</v>
      </c>
      <c r="AH8" s="78">
        <v>740222</v>
      </c>
      <c r="AI8" s="78">
        <f>80000-(Tableau35[[#This Row],[Compteur]]-Tableau35[[#This Row],[Compteur6]])</f>
        <v>8122</v>
      </c>
      <c r="AJ8" s="78"/>
      <c r="AK8" s="78"/>
      <c r="AL8" s="79"/>
      <c r="AM8" s="78"/>
      <c r="AN8" s="78">
        <f>80000-(Tableau35[[#This Row],[Compteur]]-Tableau35[[#This Row],[Compteur7]])</f>
        <v>-732100</v>
      </c>
      <c r="AO8" s="78"/>
      <c r="AP8" s="78"/>
      <c r="AQ8" s="79"/>
      <c r="AR8" s="78"/>
      <c r="AS8" s="78">
        <f>80000-(Tableau35[[#This Row],[Compteur]]-Tableau35[[#This Row],[Compteur8]])</f>
        <v>-732100</v>
      </c>
      <c r="AT8" s="78"/>
      <c r="AU8" s="78"/>
      <c r="AV8" s="79"/>
      <c r="AW8" s="78"/>
      <c r="AX8" s="78">
        <f>80000-(Tableau35[[#This Row],[Compteur]]-Tableau35[[#This Row],[Compteur9]])</f>
        <v>-732100</v>
      </c>
      <c r="AY8" s="78"/>
      <c r="AZ8" s="78"/>
      <c r="BA8" s="79"/>
      <c r="BB8" s="78"/>
      <c r="BC8" s="78">
        <f>80000-(Tableau35[[#This Row],[Compteur]]-Tableau35[[#This Row],[Compteur10]])</f>
        <v>-732100</v>
      </c>
      <c r="BD8" s="78"/>
      <c r="BE8" s="78"/>
      <c r="BF8" s="79"/>
      <c r="BG8" s="78"/>
      <c r="BH8" s="78">
        <f>80000-(Tableau35[[#This Row],[Compteur]]-Tableau35[[#This Row],[Compteur11]])</f>
        <v>-732100</v>
      </c>
      <c r="BI8" s="78"/>
      <c r="BJ8" s="78"/>
      <c r="BK8" s="79"/>
      <c r="BL8" s="78"/>
      <c r="BM8" s="78">
        <f>80000-(Tableau35[[#This Row],[Compteur]]-Tableau35[[#This Row],[Compteur12]])</f>
        <v>-732100</v>
      </c>
      <c r="BN8" s="78"/>
      <c r="BO8" s="78"/>
      <c r="BP8" s="79"/>
      <c r="BQ8" s="78"/>
      <c r="BR8" s="78">
        <f>80000-(Tableau35[[#This Row],[Compteur]]-Tableau35[[#This Row],[Compteur13]])</f>
        <v>-732100</v>
      </c>
      <c r="BS8" s="78"/>
      <c r="BT8" s="78"/>
      <c r="BU8" s="79"/>
      <c r="BV8" s="78"/>
      <c r="BW8" s="78">
        <f>80000-(Tableau35[[#This Row],[Compteur]]-Tableau35[[#This Row],[Compteur14]])</f>
        <v>-732100</v>
      </c>
      <c r="BX8" s="78"/>
      <c r="BY8" s="78"/>
      <c r="BZ8" s="79"/>
      <c r="CA8" s="78"/>
      <c r="CB8" s="78">
        <f>80000-(Tableau35[[#This Row],[Compteur]]-Tableau35[[#This Row],[CompteurS1]])</f>
        <v>-732100</v>
      </c>
      <c r="CC8" s="78"/>
      <c r="CD8" s="78"/>
      <c r="CE8" s="79"/>
      <c r="CF8" s="78"/>
      <c r="CG8" s="78">
        <f>80000-(Tableau35[[#This Row],[Compteur]]-Tableau35[[#This Row],[CompteurS2]])</f>
        <v>-732100</v>
      </c>
    </row>
    <row r="9" spans="1:85" ht="30" customHeight="1">
      <c r="A9" s="78">
        <v>403</v>
      </c>
      <c r="B9" s="78" t="s">
        <v>294</v>
      </c>
      <c r="C9" s="78" t="s">
        <v>443</v>
      </c>
      <c r="D9" s="78" t="s">
        <v>417</v>
      </c>
      <c r="E9" s="78">
        <v>915600</v>
      </c>
      <c r="F9" s="78" t="s">
        <v>1875</v>
      </c>
      <c r="G9" s="80" t="s">
        <v>1883</v>
      </c>
      <c r="H9" s="79">
        <v>45202</v>
      </c>
      <c r="I9" s="78">
        <v>912221</v>
      </c>
      <c r="J9" s="78">
        <f>80000-(Tableau35[[#This Row],[Compteur]]-Tableau35[[#This Row],[Compteur1]])</f>
        <v>76621</v>
      </c>
      <c r="K9" s="78" t="s">
        <v>1875</v>
      </c>
      <c r="L9" s="78" t="s">
        <v>1882</v>
      </c>
      <c r="M9" s="79">
        <v>45202</v>
      </c>
      <c r="N9" s="78">
        <v>912221</v>
      </c>
      <c r="O9" s="78">
        <f>80000-(Tableau35[[#This Row],[Compteur]]-Tableau35[[#This Row],[Compteur2]])</f>
        <v>76621</v>
      </c>
      <c r="P9" s="78" t="s">
        <v>1884</v>
      </c>
      <c r="Q9" s="78" t="s">
        <v>1456</v>
      </c>
      <c r="R9" s="79">
        <v>44627</v>
      </c>
      <c r="S9" s="78">
        <v>881000</v>
      </c>
      <c r="T9" s="78">
        <f>80000-(Tableau35[[#This Row],[Compteur]]-Tableau35[[#This Row],[Compteur3]])</f>
        <v>45400</v>
      </c>
      <c r="U9" s="78" t="s">
        <v>1884</v>
      </c>
      <c r="V9" s="78" t="s">
        <v>1885</v>
      </c>
      <c r="W9" s="79">
        <v>44627</v>
      </c>
      <c r="X9" s="78">
        <v>881000</v>
      </c>
      <c r="Y9" s="78">
        <f>80000-(Tableau35[[#This Row],[Compteur]]-Tableau35[[#This Row],[Compteur4]])</f>
        <v>45400</v>
      </c>
      <c r="Z9" s="78" t="s">
        <v>1884</v>
      </c>
      <c r="AA9" s="78" t="s">
        <v>1886</v>
      </c>
      <c r="AB9" s="79">
        <v>44589</v>
      </c>
      <c r="AC9" s="78">
        <v>840000</v>
      </c>
      <c r="AD9" s="78">
        <f>80000-(Tableau35[[#This Row],[Compteur]]-Tableau35[[#This Row],[Compteur5]])</f>
        <v>4400</v>
      </c>
      <c r="AE9" s="78" t="s">
        <v>1884</v>
      </c>
      <c r="AF9" s="78" t="s">
        <v>1887</v>
      </c>
      <c r="AG9" s="79">
        <v>44589</v>
      </c>
      <c r="AH9" s="78">
        <v>840000</v>
      </c>
      <c r="AI9" s="78">
        <f>80000-(Tableau35[[#This Row],[Compteur]]-Tableau35[[#This Row],[Compteur6]])</f>
        <v>4400</v>
      </c>
      <c r="AJ9" s="78"/>
      <c r="AK9" s="78"/>
      <c r="AL9" s="78"/>
      <c r="AM9" s="78"/>
      <c r="AN9" s="78">
        <f>80000-(Tableau35[[#This Row],[Compteur]]-Tableau35[[#This Row],[Compteur7]])</f>
        <v>-835600</v>
      </c>
      <c r="AO9" s="78"/>
      <c r="AP9" s="78"/>
      <c r="AQ9" s="78"/>
      <c r="AR9" s="78"/>
      <c r="AS9" s="78">
        <f>80000-(Tableau35[[#This Row],[Compteur]]-Tableau35[[#This Row],[Compteur8]])</f>
        <v>-835600</v>
      </c>
      <c r="AT9" s="78"/>
      <c r="AU9" s="78"/>
      <c r="AV9" s="78"/>
      <c r="AW9" s="78"/>
      <c r="AX9" s="78">
        <f>80000-(Tableau35[[#This Row],[Compteur]]-Tableau35[[#This Row],[Compteur9]])</f>
        <v>-835600</v>
      </c>
      <c r="AY9" s="78"/>
      <c r="AZ9" s="78"/>
      <c r="BA9" s="78"/>
      <c r="BB9" s="78"/>
      <c r="BC9" s="78">
        <f>80000-(Tableau35[[#This Row],[Compteur]]-Tableau35[[#This Row],[Compteur10]])</f>
        <v>-835600</v>
      </c>
      <c r="BD9" s="78"/>
      <c r="BE9" s="78"/>
      <c r="BF9" s="78"/>
      <c r="BG9" s="78"/>
      <c r="BH9" s="78">
        <f>80000-(Tableau35[[#This Row],[Compteur]]-Tableau35[[#This Row],[Compteur11]])</f>
        <v>-835600</v>
      </c>
      <c r="BI9" s="78"/>
      <c r="BJ9" s="78"/>
      <c r="BK9" s="78"/>
      <c r="BL9" s="78"/>
      <c r="BM9" s="78">
        <f>80000-(Tableau35[[#This Row],[Compteur]]-Tableau35[[#This Row],[Compteur12]])</f>
        <v>-835600</v>
      </c>
      <c r="BN9" s="78"/>
      <c r="BO9" s="78"/>
      <c r="BP9" s="78"/>
      <c r="BQ9" s="78"/>
      <c r="BR9" s="78">
        <f>80000-(Tableau35[[#This Row],[Compteur]]-Tableau35[[#This Row],[Compteur13]])</f>
        <v>-835600</v>
      </c>
      <c r="BS9" s="78"/>
      <c r="BT9" s="78"/>
      <c r="BU9" s="78"/>
      <c r="BV9" s="78"/>
      <c r="BW9" s="78">
        <f>80000-(Tableau35[[#This Row],[Compteur]]-Tableau35[[#This Row],[Compteur14]])</f>
        <v>-835600</v>
      </c>
      <c r="BX9" s="123" t="s">
        <v>2312</v>
      </c>
      <c r="BY9" s="123" t="s">
        <v>2313</v>
      </c>
      <c r="BZ9" s="79">
        <v>44589</v>
      </c>
      <c r="CA9" s="78">
        <v>840000</v>
      </c>
      <c r="CB9" s="78">
        <f>80000-(Tableau35[[#This Row],[Compteur]]-Tableau35[[#This Row],[CompteurS1]])</f>
        <v>4400</v>
      </c>
      <c r="CC9" s="78"/>
      <c r="CD9" s="78"/>
      <c r="CE9" s="78"/>
      <c r="CF9" s="78"/>
      <c r="CG9" s="78">
        <f>80000-(Tableau35[[#This Row],[Compteur]]-Tableau35[[#This Row],[CompteurS2]])</f>
        <v>-835600</v>
      </c>
    </row>
    <row r="10" spans="1:85" ht="30" customHeight="1">
      <c r="A10" s="78">
        <v>406</v>
      </c>
      <c r="B10" s="78" t="s">
        <v>292</v>
      </c>
      <c r="C10" s="78" t="s">
        <v>444</v>
      </c>
      <c r="D10" s="78" t="s">
        <v>405</v>
      </c>
      <c r="E10" s="78">
        <v>815200</v>
      </c>
      <c r="F10" s="78" t="s">
        <v>1455</v>
      </c>
      <c r="G10" s="123" t="s">
        <v>1892</v>
      </c>
      <c r="H10" s="79">
        <v>44653</v>
      </c>
      <c r="I10" s="78">
        <v>784000</v>
      </c>
      <c r="J10" s="78">
        <f>80000-(Tableau35[[#This Row],[Compteur]]-Tableau35[[#This Row],[Compteur1]])</f>
        <v>48800</v>
      </c>
      <c r="K10" s="78" t="s">
        <v>1455</v>
      </c>
      <c r="L10" s="78" t="s">
        <v>1893</v>
      </c>
      <c r="M10" s="79">
        <v>44653</v>
      </c>
      <c r="N10" s="78">
        <v>784000</v>
      </c>
      <c r="O10" s="78">
        <f>80000-(Tableau35[[#This Row],[Compteur]]-Tableau35[[#This Row],[Compteur2]])</f>
        <v>48800</v>
      </c>
      <c r="P10" s="78" t="s">
        <v>1455</v>
      </c>
      <c r="Q10" s="78" t="s">
        <v>1894</v>
      </c>
      <c r="R10" s="79">
        <v>44653</v>
      </c>
      <c r="S10" s="78">
        <v>784000</v>
      </c>
      <c r="T10" s="78">
        <f>80000-(Tableau35[[#This Row],[Compteur]]-Tableau35[[#This Row],[Compteur3]])</f>
        <v>48800</v>
      </c>
      <c r="U10" s="78" t="s">
        <v>1455</v>
      </c>
      <c r="V10" s="78" t="s">
        <v>1894</v>
      </c>
      <c r="W10" s="79">
        <v>44653</v>
      </c>
      <c r="X10" s="78">
        <v>784000</v>
      </c>
      <c r="Y10" s="78">
        <f>80000-(Tableau35[[#This Row],[Compteur]]-Tableau35[[#This Row],[Compteur4]])</f>
        <v>48800</v>
      </c>
      <c r="Z10" s="78" t="s">
        <v>1455</v>
      </c>
      <c r="AA10" s="78" t="s">
        <v>1896</v>
      </c>
      <c r="AB10" s="79">
        <v>44240</v>
      </c>
      <c r="AC10" s="78">
        <v>751000</v>
      </c>
      <c r="AD10" s="78">
        <f>80000-(Tableau35[[#This Row],[Compteur]]-Tableau35[[#This Row],[Compteur5]])</f>
        <v>15800</v>
      </c>
      <c r="AE10" s="78" t="s">
        <v>1455</v>
      </c>
      <c r="AF10" s="78" t="s">
        <v>1895</v>
      </c>
      <c r="AG10" s="79">
        <v>44240</v>
      </c>
      <c r="AH10" s="78">
        <v>751000</v>
      </c>
      <c r="AI10" s="78">
        <f>80000-(Tableau35[[#This Row],[Compteur]]-Tableau35[[#This Row],[Compteur6]])</f>
        <v>15800</v>
      </c>
      <c r="AJ10" s="78" t="s">
        <v>1455</v>
      </c>
      <c r="AK10" s="123" t="s">
        <v>1928</v>
      </c>
      <c r="AL10" s="79">
        <v>44240</v>
      </c>
      <c r="AM10" s="78">
        <v>751000</v>
      </c>
      <c r="AN10" s="78">
        <f>80000-(Tableau35[[#This Row],[Compteur]]-Tableau35[[#This Row],[Compteur7]])</f>
        <v>15800</v>
      </c>
      <c r="AO10" s="78" t="s">
        <v>1455</v>
      </c>
      <c r="AP10" s="123" t="s">
        <v>1928</v>
      </c>
      <c r="AQ10" s="79">
        <v>44240</v>
      </c>
      <c r="AR10" s="78">
        <v>751000</v>
      </c>
      <c r="AS10" s="78">
        <f>80000-(Tableau35[[#This Row],[Compteur]]-Tableau35[[#This Row],[Compteur8]])</f>
        <v>15800</v>
      </c>
      <c r="AT10" s="78" t="s">
        <v>1455</v>
      </c>
      <c r="AU10" s="123" t="s">
        <v>1931</v>
      </c>
      <c r="AV10" s="79">
        <v>44240</v>
      </c>
      <c r="AW10" s="78">
        <v>751000</v>
      </c>
      <c r="AX10" s="78">
        <f>80000-(Tableau35[[#This Row],[Compteur]]-Tableau35[[#This Row],[Compteur9]])</f>
        <v>15800</v>
      </c>
      <c r="AY10" s="78" t="s">
        <v>1455</v>
      </c>
      <c r="AZ10" s="123" t="s">
        <v>1930</v>
      </c>
      <c r="BA10" s="79">
        <v>44240</v>
      </c>
      <c r="BB10" s="78">
        <v>751000</v>
      </c>
      <c r="BC10" s="78">
        <f>80000-(Tableau35[[#This Row],[Compteur]]-Tableau35[[#This Row],[Compteur10]])</f>
        <v>15800</v>
      </c>
      <c r="BD10" s="78" t="s">
        <v>1455</v>
      </c>
      <c r="BE10" s="123" t="s">
        <v>1929</v>
      </c>
      <c r="BF10" s="79">
        <v>44207</v>
      </c>
      <c r="BG10" s="78">
        <v>748000</v>
      </c>
      <c r="BH10" s="78">
        <f>80000-(Tableau35[[#This Row],[Compteur]]-Tableau35[[#This Row],[Compteur11]])</f>
        <v>12800</v>
      </c>
      <c r="BI10" s="123" t="s">
        <v>1924</v>
      </c>
      <c r="BJ10" s="123" t="s">
        <v>2307</v>
      </c>
      <c r="BK10" s="79">
        <v>44207</v>
      </c>
      <c r="BL10" s="78">
        <v>748000</v>
      </c>
      <c r="BM10" s="78">
        <f>80000-(Tableau35[[#This Row],[Compteur]]-Tableau35[[#This Row],[Compteur12]])</f>
        <v>12800</v>
      </c>
      <c r="BN10" s="123" t="s">
        <v>1924</v>
      </c>
      <c r="BO10" s="123" t="s">
        <v>2310</v>
      </c>
      <c r="BP10" s="79">
        <v>44207</v>
      </c>
      <c r="BQ10" s="78">
        <v>748000</v>
      </c>
      <c r="BR10" s="78">
        <f>80000-(Tableau35[[#This Row],[Compteur]]-Tableau35[[#This Row],[Compteur13]])</f>
        <v>12800</v>
      </c>
      <c r="BS10" s="123" t="s">
        <v>1924</v>
      </c>
      <c r="BT10" s="123" t="s">
        <v>2309</v>
      </c>
      <c r="BU10" s="79">
        <v>44207</v>
      </c>
      <c r="BV10" s="78">
        <v>748000</v>
      </c>
      <c r="BW10" s="78">
        <f>80000-(Tableau35[[#This Row],[Compteur]]-Tableau35[[#This Row],[Compteur14]])</f>
        <v>12800</v>
      </c>
      <c r="BX10" s="123" t="s">
        <v>1924</v>
      </c>
      <c r="BY10" s="123" t="s">
        <v>2308</v>
      </c>
      <c r="BZ10" s="79">
        <v>44785</v>
      </c>
      <c r="CA10" s="78">
        <v>704111</v>
      </c>
      <c r="CB10" s="78">
        <f>80000-(Tableau35[[#This Row],[Compteur]]-Tableau35[[#This Row],[CompteurS1]])</f>
        <v>-31089</v>
      </c>
      <c r="CC10" s="78"/>
      <c r="CD10" s="78"/>
      <c r="CE10" s="78"/>
      <c r="CF10" s="78"/>
      <c r="CG10" s="78">
        <f>80000-(Tableau35[[#This Row],[Compteur]]-Tableau35[[#This Row],[CompteurS2]])</f>
        <v>-735200</v>
      </c>
    </row>
    <row r="11" spans="1:85" ht="30" customHeight="1">
      <c r="A11" s="78">
        <v>407</v>
      </c>
      <c r="B11" s="78" t="s">
        <v>292</v>
      </c>
      <c r="C11" s="78" t="s">
        <v>443</v>
      </c>
      <c r="D11" s="78" t="s">
        <v>410</v>
      </c>
      <c r="E11" s="78">
        <v>89400</v>
      </c>
      <c r="F11" s="78" t="s">
        <v>1455</v>
      </c>
      <c r="G11" s="78" t="s">
        <v>1897</v>
      </c>
      <c r="H11" s="79">
        <v>45185</v>
      </c>
      <c r="I11" s="78">
        <v>81002</v>
      </c>
      <c r="J11" s="78">
        <f>80000-(Tableau35[[#This Row],[Compteur]]-Tableau35[[#This Row],[Compteur1]])</f>
        <v>71602</v>
      </c>
      <c r="K11" s="78" t="s">
        <v>1455</v>
      </c>
      <c r="L11" s="78" t="s">
        <v>1898</v>
      </c>
      <c r="M11" s="79">
        <v>45185</v>
      </c>
      <c r="N11" s="78">
        <v>81002</v>
      </c>
      <c r="O11" s="78">
        <f>80000-(Tableau35[[#This Row],[Compteur]]-Tableau35[[#This Row],[Compteur2]])</f>
        <v>71602</v>
      </c>
      <c r="P11" s="78" t="s">
        <v>1455</v>
      </c>
      <c r="Q11" s="78" t="s">
        <v>1899</v>
      </c>
      <c r="R11" s="79">
        <v>45185</v>
      </c>
      <c r="S11" s="78">
        <v>81002</v>
      </c>
      <c r="T11" s="78">
        <f>80000-(Tableau35[[#This Row],[Compteur]]-Tableau35[[#This Row],[Compteur3]])</f>
        <v>71602</v>
      </c>
      <c r="U11" s="78" t="s">
        <v>1455</v>
      </c>
      <c r="V11" s="78" t="s">
        <v>1458</v>
      </c>
      <c r="W11" s="79">
        <v>45185</v>
      </c>
      <c r="X11" s="78">
        <v>81002</v>
      </c>
      <c r="Y11" s="78">
        <f>80000-(Tableau35[[#This Row],[Compteur]]-Tableau35[[#This Row],[Compteur4]])</f>
        <v>71602</v>
      </c>
      <c r="Z11" s="78" t="s">
        <v>1455</v>
      </c>
      <c r="AA11" s="78" t="s">
        <v>1458</v>
      </c>
      <c r="AB11" s="79">
        <v>44700</v>
      </c>
      <c r="AC11" s="78">
        <v>71200</v>
      </c>
      <c r="AD11" s="78">
        <f>80000-(Tableau35[[#This Row],[Compteur]]-Tableau35[[#This Row],[Compteur5]])</f>
        <v>61800</v>
      </c>
      <c r="AE11" s="78" t="s">
        <v>1455</v>
      </c>
      <c r="AF11" s="78" t="s">
        <v>1458</v>
      </c>
      <c r="AG11" s="79">
        <v>44700</v>
      </c>
      <c r="AH11" s="78">
        <v>71200</v>
      </c>
      <c r="AI11" s="78">
        <f>80000-(Tableau35[[#This Row],[Compteur]]-Tableau35[[#This Row],[Compteur6]])</f>
        <v>61800</v>
      </c>
      <c r="AJ11" s="78" t="s">
        <v>1455</v>
      </c>
      <c r="AK11" s="80" t="s">
        <v>1888</v>
      </c>
      <c r="AL11" s="79">
        <v>44700</v>
      </c>
      <c r="AM11" s="78">
        <v>71200</v>
      </c>
      <c r="AN11" s="78">
        <f>80000-(Tableau35[[#This Row],[Compteur]]-Tableau35[[#This Row],[Compteur7]])</f>
        <v>61800</v>
      </c>
      <c r="AO11" s="78" t="s">
        <v>1455</v>
      </c>
      <c r="AP11" s="80" t="s">
        <v>1889</v>
      </c>
      <c r="AQ11" s="79">
        <v>44700</v>
      </c>
      <c r="AR11" s="78">
        <v>71200</v>
      </c>
      <c r="AS11" s="78">
        <f>80000-(Tableau35[[#This Row],[Compteur]]-Tableau35[[#This Row],[Compteur8]])</f>
        <v>61800</v>
      </c>
      <c r="AT11" s="78" t="s">
        <v>1455</v>
      </c>
      <c r="AU11" s="80" t="s">
        <v>1890</v>
      </c>
      <c r="AV11" s="79">
        <v>44218</v>
      </c>
      <c r="AW11" s="78">
        <v>65300</v>
      </c>
      <c r="AX11" s="78">
        <f>80000-(Tableau35[[#This Row],[Compteur]]-Tableau35[[#This Row],[Compteur9]])</f>
        <v>55900</v>
      </c>
      <c r="AY11" s="78" t="s">
        <v>1455</v>
      </c>
      <c r="AZ11" s="124" t="s">
        <v>1888</v>
      </c>
      <c r="BA11" s="79">
        <v>44218</v>
      </c>
      <c r="BB11" s="78">
        <v>65300</v>
      </c>
      <c r="BC11" s="78">
        <f>80000-(Tableau35[[#This Row],[Compteur]]-Tableau35[[#This Row],[Compteur10]])</f>
        <v>55900</v>
      </c>
      <c r="BD11" s="78" t="s">
        <v>1891</v>
      </c>
      <c r="BE11" s="123" t="s">
        <v>2317</v>
      </c>
      <c r="BF11" s="79">
        <v>44218</v>
      </c>
      <c r="BG11" s="78">
        <v>65300</v>
      </c>
      <c r="BH11" s="78">
        <f>80000-(Tableau35[[#This Row],[Compteur]]-Tableau35[[#This Row],[Compteur11]])</f>
        <v>55900</v>
      </c>
      <c r="BI11" s="78" t="s">
        <v>1891</v>
      </c>
      <c r="BJ11" s="123" t="s">
        <v>2316</v>
      </c>
      <c r="BK11" s="79">
        <v>44218</v>
      </c>
      <c r="BL11" s="78">
        <v>65300</v>
      </c>
      <c r="BM11" s="78">
        <f>80000-(Tableau35[[#This Row],[Compteur]]-Tableau35[[#This Row],[Compteur12]])</f>
        <v>55900</v>
      </c>
      <c r="BN11" s="78" t="s">
        <v>1891</v>
      </c>
      <c r="BO11" s="123" t="s">
        <v>2315</v>
      </c>
      <c r="BP11" s="79">
        <v>44218</v>
      </c>
      <c r="BQ11" s="78">
        <v>65300</v>
      </c>
      <c r="BR11" s="78">
        <f>80000-(Tableau35[[#This Row],[Compteur]]-Tableau35[[#This Row],[Compteur13]])</f>
        <v>55900</v>
      </c>
      <c r="BS11" s="78" t="s">
        <v>1891</v>
      </c>
      <c r="BT11" s="123" t="s">
        <v>2314</v>
      </c>
      <c r="BU11" s="79">
        <v>44525</v>
      </c>
      <c r="BV11" s="78">
        <v>46400</v>
      </c>
      <c r="BW11" s="78">
        <f>80000-(Tableau35[[#This Row],[Compteur]]-Tableau35[[#This Row],[Compteur14]])</f>
        <v>37000</v>
      </c>
      <c r="BX11" s="78"/>
      <c r="BY11" s="78"/>
      <c r="BZ11" s="78"/>
      <c r="CA11" s="78"/>
      <c r="CB11" s="78">
        <f>80000-(Tableau35[[#This Row],[Compteur]]-Tableau35[[#This Row],[CompteurS1]])</f>
        <v>-9400</v>
      </c>
      <c r="CC11" s="78"/>
      <c r="CD11" s="78"/>
      <c r="CE11" s="78"/>
      <c r="CF11" s="78"/>
      <c r="CG11" s="78">
        <f>80000-(Tableau35[[#This Row],[Compteur]]-Tableau35[[#This Row],[CompteurS2]])</f>
        <v>-9400</v>
      </c>
    </row>
    <row r="12" spans="1:85" ht="30" customHeight="1">
      <c r="A12" s="78">
        <v>408</v>
      </c>
      <c r="B12" s="78" t="s">
        <v>294</v>
      </c>
      <c r="C12" s="78" t="s">
        <v>432</v>
      </c>
      <c r="D12" s="78" t="s">
        <v>412</v>
      </c>
      <c r="E12" s="78">
        <v>521000</v>
      </c>
      <c r="F12" s="78" t="s">
        <v>1875</v>
      </c>
      <c r="G12" s="124" t="s">
        <v>1916</v>
      </c>
      <c r="H12" s="79">
        <v>45170</v>
      </c>
      <c r="I12" s="78">
        <v>516000</v>
      </c>
      <c r="J12" s="78">
        <f>80000-(Tableau35[[#This Row],[Compteur]]-Tableau35[[#This Row],[Compteur1]])</f>
        <v>75000</v>
      </c>
      <c r="K12" s="78" t="s">
        <v>1875</v>
      </c>
      <c r="L12" s="124" t="s">
        <v>1917</v>
      </c>
      <c r="M12" s="79">
        <v>45170</v>
      </c>
      <c r="N12" s="78">
        <v>516000</v>
      </c>
      <c r="O12" s="78">
        <f>80000-(Tableau35[[#This Row],[Compteur]]-Tableau35[[#This Row],[Compteur2]])</f>
        <v>75000</v>
      </c>
      <c r="P12" s="78" t="s">
        <v>1875</v>
      </c>
      <c r="Q12" s="124" t="s">
        <v>1918</v>
      </c>
      <c r="R12" s="79">
        <v>44467</v>
      </c>
      <c r="S12" s="78">
        <v>481000</v>
      </c>
      <c r="T12" s="78">
        <f>80000-(Tableau35[[#This Row],[Compteur]]-Tableau35[[#This Row],[Compteur3]])</f>
        <v>40000</v>
      </c>
      <c r="U12" s="78" t="s">
        <v>1875</v>
      </c>
      <c r="V12" s="124" t="s">
        <v>1919</v>
      </c>
      <c r="W12" s="79">
        <v>44467</v>
      </c>
      <c r="X12" s="78">
        <v>481000</v>
      </c>
      <c r="Y12" s="78">
        <f>80000-(Tableau35[[#This Row],[Compteur]]-Tableau35[[#This Row],[Compteur4]])</f>
        <v>40000</v>
      </c>
      <c r="Z12" s="78" t="s">
        <v>1875</v>
      </c>
      <c r="AA12" s="124" t="s">
        <v>1920</v>
      </c>
      <c r="AB12" s="79">
        <v>44439</v>
      </c>
      <c r="AC12" s="78">
        <v>462000</v>
      </c>
      <c r="AD12" s="78">
        <f>80000-(Tableau35[[#This Row],[Compteur]]-Tableau35[[#This Row],[Compteur5]])</f>
        <v>21000</v>
      </c>
      <c r="AE12" s="78" t="s">
        <v>1875</v>
      </c>
      <c r="AF12" s="124" t="s">
        <v>1921</v>
      </c>
      <c r="AG12" s="79">
        <v>44439</v>
      </c>
      <c r="AH12" s="78">
        <v>462000</v>
      </c>
      <c r="AI12" s="78">
        <f>80000-(Tableau35[[#This Row],[Compteur]]-Tableau35[[#This Row],[Compteur6]])</f>
        <v>21000</v>
      </c>
      <c r="AJ12" s="78"/>
      <c r="AK12" s="78"/>
      <c r="AL12" s="78"/>
      <c r="AM12" s="78"/>
      <c r="AN12" s="78">
        <f>80000-(Tableau35[[#This Row],[Compteur]]-Tableau35[[#This Row],[Compteur7]])</f>
        <v>-441000</v>
      </c>
      <c r="AO12" s="78"/>
      <c r="AP12" s="78"/>
      <c r="AQ12" s="78"/>
      <c r="AR12" s="78"/>
      <c r="AS12" s="78">
        <f>80000-(Tableau35[[#This Row],[Compteur]]-Tableau35[[#This Row],[Compteur8]])</f>
        <v>-441000</v>
      </c>
      <c r="AT12" s="78"/>
      <c r="AU12" s="78"/>
      <c r="AV12" s="78"/>
      <c r="AW12" s="78"/>
      <c r="AX12" s="78">
        <f>80000-(Tableau35[[#This Row],[Compteur]]-Tableau35[[#This Row],[Compteur9]])</f>
        <v>-441000</v>
      </c>
      <c r="AY12" s="78"/>
      <c r="AZ12" s="78"/>
      <c r="BA12" s="78"/>
      <c r="BB12" s="78"/>
      <c r="BC12" s="78">
        <f>80000-(Tableau35[[#This Row],[Compteur]]-Tableau35[[#This Row],[Compteur10]])</f>
        <v>-441000</v>
      </c>
      <c r="BD12" s="78"/>
      <c r="BE12" s="78"/>
      <c r="BF12" s="78"/>
      <c r="BG12" s="78"/>
      <c r="BH12" s="78">
        <f>80000-(Tableau35[[#This Row],[Compteur]]-Tableau35[[#This Row],[Compteur11]])</f>
        <v>-441000</v>
      </c>
      <c r="BI12" s="78"/>
      <c r="BJ12" s="78"/>
      <c r="BK12" s="78"/>
      <c r="BL12" s="78"/>
      <c r="BM12" s="78">
        <f>80000-(Tableau35[[#This Row],[Compteur]]-Tableau35[[#This Row],[Compteur12]])</f>
        <v>-441000</v>
      </c>
      <c r="BN12" s="78"/>
      <c r="BO12" s="78"/>
      <c r="BP12" s="78"/>
      <c r="BQ12" s="78"/>
      <c r="BR12" s="78">
        <f>80000-(Tableau35[[#This Row],[Compteur]]-Tableau35[[#This Row],[Compteur13]])</f>
        <v>-441000</v>
      </c>
      <c r="BS12" s="78"/>
      <c r="BT12" s="78"/>
      <c r="BU12" s="78"/>
      <c r="BV12" s="78"/>
      <c r="BW12" s="78">
        <f>80000-(Tableau35[[#This Row],[Compteur]]-Tableau35[[#This Row],[Compteur14]])</f>
        <v>-441000</v>
      </c>
      <c r="BX12" s="78"/>
      <c r="BY12" s="78"/>
      <c r="BZ12" s="78"/>
      <c r="CA12" s="78"/>
      <c r="CB12" s="78">
        <f>80000-(Tableau35[[#This Row],[Compteur]]-Tableau35[[#This Row],[CompteurS1]])</f>
        <v>-441000</v>
      </c>
      <c r="CC12" s="78"/>
      <c r="CD12" s="78"/>
      <c r="CE12" s="78"/>
      <c r="CF12" s="78"/>
      <c r="CG12" s="78">
        <f>80000-(Tableau35[[#This Row],[Compteur]]-Tableau35[[#This Row],[CompteurS2]])</f>
        <v>-441000</v>
      </c>
    </row>
    <row r="13" spans="1:85" ht="30" customHeight="1">
      <c r="A13" s="78">
        <v>409</v>
      </c>
      <c r="B13" s="78" t="s">
        <v>294</v>
      </c>
      <c r="C13" s="78" t="s">
        <v>432</v>
      </c>
      <c r="D13" s="78" t="s">
        <v>413</v>
      </c>
      <c r="E13" s="78">
        <v>878900</v>
      </c>
      <c r="F13" s="78" t="s">
        <v>1461</v>
      </c>
      <c r="G13" s="78" t="s">
        <v>1462</v>
      </c>
      <c r="H13" s="79">
        <v>45119</v>
      </c>
      <c r="I13" s="78">
        <v>870200</v>
      </c>
      <c r="J13" s="78">
        <f>80000-(Tableau35[[#This Row],[Compteur]]-Tableau35[[#This Row],[Compteur1]])</f>
        <v>71300</v>
      </c>
      <c r="K13" s="78" t="s">
        <v>1461</v>
      </c>
      <c r="L13" s="78" t="s">
        <v>1462</v>
      </c>
      <c r="M13" s="79">
        <v>45119</v>
      </c>
      <c r="N13" s="78">
        <v>870200</v>
      </c>
      <c r="O13" s="78">
        <f>80000-(Tableau35[[#This Row],[Compteur]]-Tableau35[[#This Row],[Compteur2]])</f>
        <v>71300</v>
      </c>
      <c r="P13" s="123" t="s">
        <v>1924</v>
      </c>
      <c r="Q13" s="123" t="s">
        <v>1932</v>
      </c>
      <c r="R13" s="79">
        <v>44475</v>
      </c>
      <c r="S13" s="78">
        <v>810000</v>
      </c>
      <c r="T13" s="78">
        <f>80000-(Tableau35[[#This Row],[Compteur]]-Tableau35[[#This Row],[Compteur3]])</f>
        <v>11100</v>
      </c>
      <c r="U13" s="78" t="s">
        <v>1461</v>
      </c>
      <c r="V13" s="80" t="s">
        <v>1464</v>
      </c>
      <c r="W13" s="79">
        <v>44475</v>
      </c>
      <c r="X13" s="78">
        <v>810000</v>
      </c>
      <c r="Y13" s="78">
        <f>80000-(Tableau35[[#This Row],[Compteur]]-Tableau35[[#This Row],[Compteur4]])</f>
        <v>11100</v>
      </c>
      <c r="Z13" s="78" t="s">
        <v>1461</v>
      </c>
      <c r="AA13" s="78" t="s">
        <v>1466</v>
      </c>
      <c r="AB13" s="79">
        <v>44461</v>
      </c>
      <c r="AC13" s="78">
        <v>800500</v>
      </c>
      <c r="AD13" s="78">
        <f>80000-(Tableau35[[#This Row],[Compteur]]-Tableau35[[#This Row],[Compteur5]])</f>
        <v>1600</v>
      </c>
      <c r="AE13" s="78" t="s">
        <v>1461</v>
      </c>
      <c r="AF13" s="78" t="s">
        <v>1880</v>
      </c>
      <c r="AG13" s="79">
        <v>44461</v>
      </c>
      <c r="AH13" s="78">
        <v>800500</v>
      </c>
      <c r="AI13" s="78">
        <f>80000-(Tableau35[[#This Row],[Compteur]]-Tableau35[[#This Row],[Compteur6]])</f>
        <v>1600</v>
      </c>
      <c r="AJ13" s="78"/>
      <c r="AK13" s="78"/>
      <c r="AL13" s="78"/>
      <c r="AM13" s="78"/>
      <c r="AN13" s="78">
        <f>80000-(Tableau35[[#This Row],[Compteur]]-Tableau35[[#This Row],[Compteur7]])</f>
        <v>-798900</v>
      </c>
      <c r="AO13" s="78"/>
      <c r="AP13" s="78"/>
      <c r="AQ13" s="78"/>
      <c r="AR13" s="78"/>
      <c r="AS13" s="78">
        <f>80000-(Tableau35[[#This Row],[Compteur]]-Tableau35[[#This Row],[Compteur8]])</f>
        <v>-798900</v>
      </c>
      <c r="AT13" s="78"/>
      <c r="AU13" s="78"/>
      <c r="AV13" s="78"/>
      <c r="AW13" s="78"/>
      <c r="AX13" s="78">
        <f>80000-(Tableau35[[#This Row],[Compteur]]-Tableau35[[#This Row],[Compteur9]])</f>
        <v>-798900</v>
      </c>
      <c r="AY13" s="78"/>
      <c r="AZ13" s="78"/>
      <c r="BA13" s="78"/>
      <c r="BB13" s="78"/>
      <c r="BC13" s="78">
        <f>80000-(Tableau35[[#This Row],[Compteur]]-Tableau35[[#This Row],[Compteur10]])</f>
        <v>-798900</v>
      </c>
      <c r="BD13" s="78"/>
      <c r="BE13" s="78"/>
      <c r="BF13" s="78"/>
      <c r="BG13" s="78"/>
      <c r="BH13" s="78">
        <f>80000-(Tableau35[[#This Row],[Compteur]]-Tableau35[[#This Row],[Compteur11]])</f>
        <v>-798900</v>
      </c>
      <c r="BI13" s="78"/>
      <c r="BJ13" s="78"/>
      <c r="BK13" s="78"/>
      <c r="BL13" s="78"/>
      <c r="BM13" s="78">
        <f>80000-(Tableau35[[#This Row],[Compteur]]-Tableau35[[#This Row],[Compteur12]])</f>
        <v>-798900</v>
      </c>
      <c r="BN13" s="78"/>
      <c r="BO13" s="78"/>
      <c r="BP13" s="78"/>
      <c r="BQ13" s="78"/>
      <c r="BR13" s="78">
        <f>80000-(Tableau35[[#This Row],[Compteur]]-Tableau35[[#This Row],[Compteur13]])</f>
        <v>-798900</v>
      </c>
      <c r="BS13" s="78"/>
      <c r="BT13" s="78"/>
      <c r="BU13" s="78"/>
      <c r="BV13" s="78"/>
      <c r="BW13" s="78">
        <f>80000-(Tableau35[[#This Row],[Compteur]]-Tableau35[[#This Row],[Compteur14]])</f>
        <v>-798900</v>
      </c>
      <c r="BX13" s="78" t="s">
        <v>1461</v>
      </c>
      <c r="BY13" s="78" t="s">
        <v>1465</v>
      </c>
      <c r="BZ13" s="79">
        <v>43689</v>
      </c>
      <c r="CA13" s="78">
        <v>765221</v>
      </c>
      <c r="CB13" s="78">
        <f>80000-(Tableau35[[#This Row],[Compteur]]-Tableau35[[#This Row],[CompteurS1]])</f>
        <v>-33679</v>
      </c>
      <c r="CC13" s="78"/>
      <c r="CD13" s="78"/>
      <c r="CE13" s="78"/>
      <c r="CF13" s="78"/>
      <c r="CG13" s="78">
        <f>80000-(Tableau35[[#This Row],[Compteur]]-Tableau35[[#This Row],[CompteurS2]])</f>
        <v>-798900</v>
      </c>
    </row>
    <row r="14" spans="1:85" ht="30" customHeight="1">
      <c r="A14" s="78">
        <v>411</v>
      </c>
      <c r="B14" s="78" t="s">
        <v>294</v>
      </c>
      <c r="C14" s="78" t="s">
        <v>433</v>
      </c>
      <c r="D14" s="78" t="s">
        <v>416</v>
      </c>
      <c r="E14" s="78">
        <v>929200</v>
      </c>
      <c r="F14" s="124" t="s">
        <v>1875</v>
      </c>
      <c r="G14" s="78" t="s">
        <v>1898</v>
      </c>
      <c r="H14" s="79">
        <v>45109</v>
      </c>
      <c r="I14" s="78">
        <v>897000</v>
      </c>
      <c r="J14" s="78">
        <f>80000-(Tableau35[[#This Row],[Compteur]]-Tableau35[[#This Row],[Compteur1]])</f>
        <v>47800</v>
      </c>
      <c r="K14" s="78" t="s">
        <v>1875</v>
      </c>
      <c r="L14" s="80" t="s">
        <v>1883</v>
      </c>
      <c r="M14" s="79">
        <v>45109</v>
      </c>
      <c r="N14" s="78">
        <v>897000</v>
      </c>
      <c r="O14" s="78">
        <f>80000-(Tableau35[[#This Row],[Compteur]]-Tableau35[[#This Row],[Compteur2]])</f>
        <v>47800</v>
      </c>
      <c r="P14" s="78" t="s">
        <v>1875</v>
      </c>
      <c r="Q14" s="80" t="s">
        <v>1883</v>
      </c>
      <c r="R14" s="79">
        <v>45098</v>
      </c>
      <c r="S14" s="78">
        <v>891600</v>
      </c>
      <c r="T14" s="78">
        <f>80000-(Tableau35[[#This Row],[Compteur]]-Tableau35[[#This Row],[Compteur3]])</f>
        <v>42400</v>
      </c>
      <c r="U14" s="78" t="s">
        <v>1875</v>
      </c>
      <c r="V14" s="80" t="s">
        <v>1883</v>
      </c>
      <c r="W14" s="79">
        <v>45098</v>
      </c>
      <c r="X14" s="78">
        <v>891600</v>
      </c>
      <c r="Y14" s="78">
        <f>80000-(Tableau35[[#This Row],[Compteur]]-Tableau35[[#This Row],[Compteur4]])</f>
        <v>42400</v>
      </c>
      <c r="Z14" s="78" t="s">
        <v>1875</v>
      </c>
      <c r="AA14" s="80" t="s">
        <v>1905</v>
      </c>
      <c r="AB14" s="79">
        <v>45098</v>
      </c>
      <c r="AC14" s="78">
        <v>891600</v>
      </c>
      <c r="AD14" s="78">
        <f>80000-(Tableau35[[#This Row],[Compteur]]-Tableau35[[#This Row],[Compteur5]])</f>
        <v>42400</v>
      </c>
      <c r="AE14" s="78" t="s">
        <v>1875</v>
      </c>
      <c r="AF14" s="80" t="s">
        <v>1904</v>
      </c>
      <c r="AG14" s="79">
        <v>45098</v>
      </c>
      <c r="AH14" s="78">
        <v>891600</v>
      </c>
      <c r="AI14" s="78">
        <f>80000-(Tableau35[[#This Row],[Compteur]]-Tableau35[[#This Row],[Compteur6]])</f>
        <v>42400</v>
      </c>
      <c r="AJ14" s="78"/>
      <c r="AK14" s="78"/>
      <c r="AL14" s="78"/>
      <c r="AM14" s="78"/>
      <c r="AN14" s="78">
        <f>80000-(Tableau35[[#This Row],[Compteur]]-Tableau35[[#This Row],[Compteur7]])</f>
        <v>-849200</v>
      </c>
      <c r="AO14" s="78"/>
      <c r="AP14" s="78"/>
      <c r="AQ14" s="78"/>
      <c r="AR14" s="78"/>
      <c r="AS14" s="78">
        <f>80000-(Tableau35[[#This Row],[Compteur]]-Tableau35[[#This Row],[Compteur8]])</f>
        <v>-849200</v>
      </c>
      <c r="AT14" s="78"/>
      <c r="AU14" s="78"/>
      <c r="AV14" s="78"/>
      <c r="AW14" s="78"/>
      <c r="AX14" s="78">
        <f>80000-(Tableau35[[#This Row],[Compteur]]-Tableau35[[#This Row],[Compteur9]])</f>
        <v>-849200</v>
      </c>
      <c r="AY14" s="78"/>
      <c r="AZ14" s="78"/>
      <c r="BA14" s="78"/>
      <c r="BB14" s="78"/>
      <c r="BC14" s="78">
        <f>80000-(Tableau35[[#This Row],[Compteur]]-Tableau35[[#This Row],[Compteur10]])</f>
        <v>-849200</v>
      </c>
      <c r="BD14" s="78"/>
      <c r="BE14" s="78"/>
      <c r="BF14" s="78"/>
      <c r="BG14" s="78"/>
      <c r="BH14" s="78">
        <f>80000-(Tableau35[[#This Row],[Compteur]]-Tableau35[[#This Row],[Compteur11]])</f>
        <v>-849200</v>
      </c>
      <c r="BI14" s="78"/>
      <c r="BJ14" s="78"/>
      <c r="BK14" s="78"/>
      <c r="BL14" s="78"/>
      <c r="BM14" s="78">
        <f>80000-(Tableau35[[#This Row],[Compteur]]-Tableau35[[#This Row],[Compteur12]])</f>
        <v>-849200</v>
      </c>
      <c r="BN14" s="78"/>
      <c r="BO14" s="78"/>
      <c r="BP14" s="78"/>
      <c r="BQ14" s="78"/>
      <c r="BR14" s="78">
        <f>80000-(Tableau35[[#This Row],[Compteur]]-Tableau35[[#This Row],[Compteur13]])</f>
        <v>-849200</v>
      </c>
      <c r="BS14" s="78"/>
      <c r="BT14" s="78"/>
      <c r="BU14" s="78"/>
      <c r="BV14" s="78"/>
      <c r="BW14" s="78">
        <f>80000-(Tableau35[[#This Row],[Compteur]]-Tableau35[[#This Row],[Compteur14]])</f>
        <v>-849200</v>
      </c>
      <c r="BX14" s="78"/>
      <c r="BY14" s="78"/>
      <c r="BZ14" s="78"/>
      <c r="CA14" s="78"/>
      <c r="CB14" s="78">
        <f>80000-(Tableau35[[#This Row],[Compteur]]-Tableau35[[#This Row],[CompteurS1]])</f>
        <v>-849200</v>
      </c>
      <c r="CC14" s="78"/>
      <c r="CD14" s="78"/>
      <c r="CE14" s="78"/>
      <c r="CF14" s="78"/>
      <c r="CG14" s="78">
        <f>80000-(Tableau35[[#This Row],[Compteur]]-Tableau35[[#This Row],[CompteurS2]])</f>
        <v>-849200</v>
      </c>
    </row>
    <row r="15" spans="1:85" ht="30" customHeight="1">
      <c r="A15" s="78">
        <v>435</v>
      </c>
      <c r="B15" s="78" t="s">
        <v>294</v>
      </c>
      <c r="C15" s="78" t="s">
        <v>432</v>
      </c>
      <c r="D15" s="78" t="s">
        <v>414</v>
      </c>
      <c r="E15" s="78">
        <v>742500</v>
      </c>
      <c r="F15" s="123" t="s">
        <v>1461</v>
      </c>
      <c r="G15" s="123" t="s">
        <v>1933</v>
      </c>
      <c r="H15" s="125">
        <v>45002</v>
      </c>
      <c r="I15" s="126">
        <v>702100</v>
      </c>
      <c r="J15" s="78">
        <v>14558</v>
      </c>
      <c r="K15" s="123" t="s">
        <v>1461</v>
      </c>
      <c r="L15" s="123" t="s">
        <v>1923</v>
      </c>
      <c r="M15" s="125">
        <v>45002</v>
      </c>
      <c r="N15" s="126">
        <v>702100</v>
      </c>
      <c r="O15" s="78">
        <v>14558</v>
      </c>
      <c r="P15" s="123" t="s">
        <v>1924</v>
      </c>
      <c r="Q15" s="123" t="s">
        <v>1885</v>
      </c>
      <c r="R15" s="125">
        <v>45002</v>
      </c>
      <c r="S15" s="126">
        <v>702100</v>
      </c>
      <c r="T15" s="78">
        <f>80000-(Tableau35[[#This Row],[Compteur]]-Tableau35[[#This Row],[Compteur3]])</f>
        <v>39600</v>
      </c>
      <c r="U15" s="123" t="s">
        <v>1924</v>
      </c>
      <c r="V15" s="123" t="s">
        <v>1925</v>
      </c>
      <c r="W15" s="125">
        <v>45002</v>
      </c>
      <c r="X15" s="126">
        <v>702100</v>
      </c>
      <c r="Y15" s="78">
        <f>80000-(Tableau35[[#This Row],[Compteur]]-Tableau35[[#This Row],[Compteur4]])</f>
        <v>39600</v>
      </c>
      <c r="Z15" s="123" t="s">
        <v>1924</v>
      </c>
      <c r="AA15" s="123" t="s">
        <v>1926</v>
      </c>
      <c r="AB15" s="79">
        <v>44939</v>
      </c>
      <c r="AC15" s="78">
        <v>690400</v>
      </c>
      <c r="AD15" s="78">
        <f>80000-(Tableau35[[#This Row],[Compteur]]-Tableau35[[#This Row],[Compteur5]])</f>
        <v>27900</v>
      </c>
      <c r="AE15" s="123" t="s">
        <v>1924</v>
      </c>
      <c r="AF15" s="123" t="s">
        <v>1927</v>
      </c>
      <c r="AG15" s="79">
        <v>44939</v>
      </c>
      <c r="AH15" s="78">
        <v>690400</v>
      </c>
      <c r="AI15" s="78">
        <f>80000-(Tableau35[[#This Row],[Compteur]]-Tableau35[[#This Row],[Compteur6]])</f>
        <v>27900</v>
      </c>
      <c r="AJ15" s="78"/>
      <c r="AK15" s="78"/>
      <c r="AL15" s="78"/>
      <c r="AM15" s="78"/>
      <c r="AN15" s="78">
        <f>80000-(Tableau35[[#This Row],[Compteur]]-Tableau35[[#This Row],[Compteur7]])</f>
        <v>-662500</v>
      </c>
      <c r="AO15" s="78"/>
      <c r="AP15" s="78"/>
      <c r="AQ15" s="78"/>
      <c r="AR15" s="78"/>
      <c r="AS15" s="78">
        <f>80000-(Tableau35[[#This Row],[Compteur]]-Tableau35[[#This Row],[Compteur8]])</f>
        <v>-662500</v>
      </c>
      <c r="AT15" s="78"/>
      <c r="AU15" s="78"/>
      <c r="AV15" s="78"/>
      <c r="AW15" s="78"/>
      <c r="AX15" s="78">
        <f>80000-(Tableau35[[#This Row],[Compteur]]-Tableau35[[#This Row],[Compteur9]])</f>
        <v>-662500</v>
      </c>
      <c r="AY15" s="78"/>
      <c r="AZ15" s="78"/>
      <c r="BA15" s="78"/>
      <c r="BB15" s="78"/>
      <c r="BC15" s="78">
        <f>80000-(Tableau35[[#This Row],[Compteur]]-Tableau35[[#This Row],[Compteur10]])</f>
        <v>-662500</v>
      </c>
      <c r="BD15" s="78"/>
      <c r="BE15" s="78"/>
      <c r="BF15" s="78"/>
      <c r="BG15" s="78"/>
      <c r="BH15" s="78">
        <f>80000-(Tableau35[[#This Row],[Compteur]]-Tableau35[[#This Row],[Compteur11]])</f>
        <v>-662500</v>
      </c>
      <c r="BI15" s="78"/>
      <c r="BJ15" s="78"/>
      <c r="BK15" s="78"/>
      <c r="BL15" s="78"/>
      <c r="BM15" s="78">
        <f>80000-(Tableau35[[#This Row],[Compteur]]-Tableau35[[#This Row],[Compteur12]])</f>
        <v>-662500</v>
      </c>
      <c r="BN15" s="78"/>
      <c r="BO15" s="78"/>
      <c r="BP15" s="78"/>
      <c r="BQ15" s="78"/>
      <c r="BR15" s="78">
        <f>80000-(Tableau35[[#This Row],[Compteur]]-Tableau35[[#This Row],[Compteur13]])</f>
        <v>-662500</v>
      </c>
      <c r="BS15" s="78"/>
      <c r="BT15" s="78"/>
      <c r="BU15" s="78"/>
      <c r="BV15" s="78"/>
      <c r="BW15" s="78">
        <f>80000-(Tableau35[[#This Row],[Compteur]]-Tableau35[[#This Row],[Compteur14]])</f>
        <v>-662500</v>
      </c>
      <c r="BX15" s="78"/>
      <c r="BY15" s="78"/>
      <c r="BZ15" s="78"/>
      <c r="CA15" s="78"/>
      <c r="CB15" s="78">
        <f>80000-(Tableau35[[#This Row],[Compteur]]-Tableau35[[#This Row],[CompteurS1]])</f>
        <v>-662500</v>
      </c>
      <c r="CC15" s="78"/>
      <c r="CD15" s="78"/>
      <c r="CE15" s="78"/>
      <c r="CF15" s="78"/>
      <c r="CG15" s="78">
        <f>80000-(Tableau35[[#This Row],[Compteur]]-Tableau35[[#This Row],[CompteurS2]])</f>
        <v>-662500</v>
      </c>
    </row>
    <row r="16" spans="1:85" ht="30" customHeight="1">
      <c r="A16" s="78">
        <v>438</v>
      </c>
      <c r="B16" s="78" t="s">
        <v>292</v>
      </c>
      <c r="C16" s="78" t="s">
        <v>444</v>
      </c>
      <c r="D16" s="78" t="s">
        <v>406</v>
      </c>
      <c r="E16" s="78">
        <v>512400</v>
      </c>
      <c r="F16" s="78" t="s">
        <v>1455</v>
      </c>
      <c r="G16" s="123" t="s">
        <v>1935</v>
      </c>
      <c r="H16" s="79">
        <v>44990</v>
      </c>
      <c r="I16" s="78">
        <v>481000</v>
      </c>
      <c r="J16" s="78">
        <f>80000-(Tableau35[[#This Row],[Compteur]]-Tableau35[[#This Row],[Compteur1]])</f>
        <v>48600</v>
      </c>
      <c r="K16" s="78" t="s">
        <v>1455</v>
      </c>
      <c r="L16" s="123" t="s">
        <v>1934</v>
      </c>
      <c r="M16" s="79">
        <v>44990</v>
      </c>
      <c r="N16" s="78">
        <v>481000</v>
      </c>
      <c r="O16" s="78">
        <f>80000-(Tableau35[[#This Row],[Compteur]]-Tableau35[[#This Row],[Compteur2]])</f>
        <v>48600</v>
      </c>
      <c r="P16" s="78" t="s">
        <v>1455</v>
      </c>
      <c r="Q16" s="78" t="s">
        <v>1458</v>
      </c>
      <c r="R16" s="79">
        <v>44990</v>
      </c>
      <c r="S16" s="78">
        <v>481000</v>
      </c>
      <c r="T16" s="78">
        <f>80000-(Tableau35[[#This Row],[Compteur]]-Tableau35[[#This Row],[Compteur3]])</f>
        <v>48600</v>
      </c>
      <c r="U16" s="78" t="s">
        <v>1455</v>
      </c>
      <c r="V16" s="78" t="s">
        <v>1459</v>
      </c>
      <c r="W16" s="79">
        <v>44990</v>
      </c>
      <c r="X16" s="78">
        <v>481000</v>
      </c>
      <c r="Y16" s="78">
        <f>80000-(Tableau35[[#This Row],[Compteur]]-Tableau35[[#This Row],[Compteur4]])</f>
        <v>48600</v>
      </c>
      <c r="Z16" s="78" t="s">
        <v>1455</v>
      </c>
      <c r="AA16" s="78" t="s">
        <v>1460</v>
      </c>
      <c r="AB16" s="79">
        <v>44990</v>
      </c>
      <c r="AC16" s="78">
        <v>481000</v>
      </c>
      <c r="AD16" s="78">
        <f>80000-(Tableau35[[#This Row],[Compteur]]-Tableau35[[#This Row],[Compteur5]])</f>
        <v>48600</v>
      </c>
      <c r="AE16" s="78" t="s">
        <v>1455</v>
      </c>
      <c r="AF16" s="78" t="s">
        <v>1880</v>
      </c>
      <c r="AG16" s="79">
        <v>44990</v>
      </c>
      <c r="AH16" s="78">
        <v>481000</v>
      </c>
      <c r="AI16" s="78">
        <f>80000-(Tableau35[[#This Row],[Compteur]]-Tableau35[[#This Row],[Compteur6]])</f>
        <v>48600</v>
      </c>
      <c r="AJ16" s="78" t="s">
        <v>1455</v>
      </c>
      <c r="AK16" s="78" t="s">
        <v>1880</v>
      </c>
      <c r="AL16" s="79">
        <v>44990</v>
      </c>
      <c r="AM16" s="78">
        <v>481000</v>
      </c>
      <c r="AN16" s="78">
        <f>80000-(Tableau35[[#This Row],[Compteur]]-Tableau35[[#This Row],[Compteur7]])</f>
        <v>48600</v>
      </c>
      <c r="AO16" s="78" t="s">
        <v>1455</v>
      </c>
      <c r="AP16" s="78">
        <v>8523602</v>
      </c>
      <c r="AQ16" s="79">
        <v>44778</v>
      </c>
      <c r="AR16" s="78">
        <v>477000</v>
      </c>
      <c r="AS16" s="78">
        <f>80000-(Tableau35[[#This Row],[Compteur]]-Tableau35[[#This Row],[Compteur8]])</f>
        <v>44600</v>
      </c>
      <c r="AT16" s="78" t="s">
        <v>1455</v>
      </c>
      <c r="AU16" s="78" t="s">
        <v>1457</v>
      </c>
      <c r="AV16" s="79">
        <v>44778</v>
      </c>
      <c r="AW16" s="78">
        <v>477000</v>
      </c>
      <c r="AX16" s="78">
        <f>80000-(Tableau35[[#This Row],[Compteur]]-Tableau35[[#This Row],[Compteur9]])</f>
        <v>44600</v>
      </c>
      <c r="AY16" s="78" t="s">
        <v>1455</v>
      </c>
      <c r="AZ16" s="123" t="s">
        <v>1936</v>
      </c>
      <c r="BA16" s="79">
        <v>44778</v>
      </c>
      <c r="BB16" s="78">
        <v>477000</v>
      </c>
      <c r="BC16" s="78">
        <f>80000-(Tableau35[[#This Row],[Compteur]]-Tableau35[[#This Row],[Compteur10]])</f>
        <v>44600</v>
      </c>
      <c r="BD16" s="78" t="s">
        <v>1455</v>
      </c>
      <c r="BE16" s="123" t="s">
        <v>1937</v>
      </c>
      <c r="BF16" s="79">
        <v>44778</v>
      </c>
      <c r="BG16" s="78">
        <v>477000</v>
      </c>
      <c r="BH16" s="78">
        <f>80000-(Tableau35[[#This Row],[Compteur]]-Tableau35[[#This Row],[Compteur11]])</f>
        <v>44600</v>
      </c>
      <c r="BI16" s="78" t="s">
        <v>1455</v>
      </c>
      <c r="BJ16" s="123" t="s">
        <v>1938</v>
      </c>
      <c r="BK16" s="79">
        <v>44778</v>
      </c>
      <c r="BL16" s="78">
        <v>477000</v>
      </c>
      <c r="BM16" s="78">
        <f>80000-(Tableau35[[#This Row],[Compteur]]-Tableau35[[#This Row],[Compteur12]])</f>
        <v>44600</v>
      </c>
      <c r="BN16" s="78" t="s">
        <v>1455</v>
      </c>
      <c r="BO16" s="123" t="s">
        <v>1939</v>
      </c>
      <c r="BP16" s="79">
        <v>44778</v>
      </c>
      <c r="BQ16" s="78">
        <v>477000</v>
      </c>
      <c r="BR16" s="78">
        <f>80000-(Tableau35[[#This Row],[Compteur]]-Tableau35[[#This Row],[Compteur13]])</f>
        <v>44600</v>
      </c>
      <c r="BS16" s="78" t="s">
        <v>1455</v>
      </c>
      <c r="BT16" s="123" t="s">
        <v>1940</v>
      </c>
      <c r="BU16" s="79">
        <v>44778</v>
      </c>
      <c r="BV16" s="78">
        <v>477000</v>
      </c>
      <c r="BW16" s="78">
        <f>80000-(Tableau35[[#This Row],[Compteur]]-Tableau35[[#This Row],[Compteur14]])</f>
        <v>44600</v>
      </c>
      <c r="BX16" s="78" t="s">
        <v>1455</v>
      </c>
      <c r="BY16" s="123" t="s">
        <v>1942</v>
      </c>
      <c r="BZ16" s="79">
        <v>44778</v>
      </c>
      <c r="CA16" s="78">
        <v>477000</v>
      </c>
      <c r="CB16" s="78">
        <f>80000-(Tableau35[[#This Row],[Compteur]]-Tableau35[[#This Row],[CompteurS1]])</f>
        <v>44600</v>
      </c>
      <c r="CC16" s="78" t="s">
        <v>1455</v>
      </c>
      <c r="CD16" s="123" t="s">
        <v>1941</v>
      </c>
      <c r="CE16" s="79">
        <v>43800</v>
      </c>
      <c r="CF16" s="78">
        <v>201222</v>
      </c>
      <c r="CG16" s="78">
        <f>80000-(Tableau35[[#This Row],[Compteur]]-Tableau35[[#This Row],[CompteurS2]])</f>
        <v>-231178</v>
      </c>
    </row>
    <row r="17" spans="1:85" ht="30" customHeight="1">
      <c r="A17" s="78">
        <v>439</v>
      </c>
      <c r="B17" s="78" t="s">
        <v>292</v>
      </c>
      <c r="C17" s="78" t="s">
        <v>444</v>
      </c>
      <c r="D17" s="78" t="s">
        <v>407</v>
      </c>
      <c r="E17" s="78">
        <v>486300</v>
      </c>
      <c r="F17" s="78" t="s">
        <v>1455</v>
      </c>
      <c r="G17" s="78" t="s">
        <v>1902</v>
      </c>
      <c r="H17" s="79">
        <v>45251</v>
      </c>
      <c r="I17" s="78">
        <v>440100</v>
      </c>
      <c r="J17" s="78">
        <f>80000-(Tableau35[[#This Row],[Compteur]]-Tableau35[[#This Row],[Compteur1]])</f>
        <v>33800</v>
      </c>
      <c r="K17" s="78" t="s">
        <v>1455</v>
      </c>
      <c r="L17" s="78" t="s">
        <v>1901</v>
      </c>
      <c r="M17" s="79">
        <v>45251</v>
      </c>
      <c r="N17" s="78">
        <v>440100</v>
      </c>
      <c r="O17" s="78">
        <f>80000-(Tableau35[[#This Row],[Compteur]]-Tableau35[[#This Row],[Compteur2]])</f>
        <v>33800</v>
      </c>
      <c r="P17" s="78" t="s">
        <v>1455</v>
      </c>
      <c r="Q17" s="78" t="s">
        <v>1900</v>
      </c>
      <c r="R17" s="79">
        <v>45251</v>
      </c>
      <c r="S17" s="78">
        <v>440100</v>
      </c>
      <c r="T17" s="78">
        <f>80000-(Tableau35[[#This Row],[Compteur]]-Tableau35[[#This Row],[Compteur3]])</f>
        <v>33800</v>
      </c>
      <c r="U17" s="78" t="s">
        <v>1455</v>
      </c>
      <c r="V17" s="78" t="s">
        <v>1903</v>
      </c>
      <c r="W17" s="79">
        <v>45251</v>
      </c>
      <c r="X17" s="78">
        <v>440100</v>
      </c>
      <c r="Y17" s="78">
        <f>80000-(Tableau35[[#This Row],[Compteur]]-Tableau35[[#This Row],[Compteur4]])</f>
        <v>33800</v>
      </c>
      <c r="Z17" s="78" t="s">
        <v>1455</v>
      </c>
      <c r="AA17" s="78" t="s">
        <v>1458</v>
      </c>
      <c r="AB17" s="79">
        <v>44863</v>
      </c>
      <c r="AC17" s="78">
        <v>410000</v>
      </c>
      <c r="AD17" s="78">
        <f>80000-(Tableau35[[#This Row],[Compteur]]-Tableau35[[#This Row],[Compteur5]])</f>
        <v>3700</v>
      </c>
      <c r="AE17" s="78" t="s">
        <v>1455</v>
      </c>
      <c r="AF17" s="78" t="s">
        <v>1458</v>
      </c>
      <c r="AG17" s="79">
        <v>44863</v>
      </c>
      <c r="AH17" s="78">
        <v>410000</v>
      </c>
      <c r="AI17" s="78">
        <f>80000-(Tableau35[[#This Row],[Compteur]]-Tableau35[[#This Row],[Compteur6]])</f>
        <v>3700</v>
      </c>
      <c r="AJ17" s="123" t="s">
        <v>1455</v>
      </c>
      <c r="AK17" s="123" t="s">
        <v>1946</v>
      </c>
      <c r="AL17" s="79">
        <v>44863</v>
      </c>
      <c r="AM17" s="78">
        <v>410000</v>
      </c>
      <c r="AN17" s="78">
        <f>80000-(Tableau35[[#This Row],[Compteur]]-Tableau35[[#This Row],[Compteur7]])</f>
        <v>3700</v>
      </c>
      <c r="AO17" s="123" t="s">
        <v>1455</v>
      </c>
      <c r="AP17" s="123" t="s">
        <v>1945</v>
      </c>
      <c r="AQ17" s="79">
        <v>44863</v>
      </c>
      <c r="AR17" s="78">
        <v>410000</v>
      </c>
      <c r="AS17" s="78">
        <f>80000-(Tableau35[[#This Row],[Compteur]]-Tableau35[[#This Row],[Compteur8]])</f>
        <v>3700</v>
      </c>
      <c r="AT17" s="123" t="s">
        <v>1455</v>
      </c>
      <c r="AU17" s="123" t="s">
        <v>2318</v>
      </c>
      <c r="AV17" s="79">
        <v>44863</v>
      </c>
      <c r="AW17" s="78">
        <v>410000</v>
      </c>
      <c r="AX17" s="78">
        <f>80000-(Tableau35[[#This Row],[Compteur]]-Tableau35[[#This Row],[Compteur9]])</f>
        <v>3700</v>
      </c>
      <c r="AY17" s="123" t="s">
        <v>1455</v>
      </c>
      <c r="AZ17" s="123" t="s">
        <v>2319</v>
      </c>
      <c r="BA17" s="79">
        <v>44863</v>
      </c>
      <c r="BB17" s="78">
        <v>410000</v>
      </c>
      <c r="BC17" s="78">
        <f>80000-(Tableau35[[#This Row],[Compteur]]-Tableau35[[#This Row],[Compteur10]])</f>
        <v>3700</v>
      </c>
      <c r="BD17" s="123" t="s">
        <v>1455</v>
      </c>
      <c r="BE17" s="123" t="s">
        <v>1943</v>
      </c>
      <c r="BF17" s="79">
        <v>44863</v>
      </c>
      <c r="BG17" s="78">
        <v>410000</v>
      </c>
      <c r="BH17" s="78">
        <f>80000-(Tableau35[[#This Row],[Compteur]]-Tableau35[[#This Row],[Compteur11]])</f>
        <v>3700</v>
      </c>
      <c r="BI17" s="123" t="s">
        <v>1891</v>
      </c>
      <c r="BJ17" s="123" t="s">
        <v>1944</v>
      </c>
      <c r="BK17" s="79">
        <v>44863</v>
      </c>
      <c r="BL17" s="78">
        <v>410000</v>
      </c>
      <c r="BM17" s="78">
        <f>80000-(Tableau35[[#This Row],[Compteur]]-Tableau35[[#This Row],[Compteur12]])</f>
        <v>3700</v>
      </c>
      <c r="BN17" s="123" t="s">
        <v>1891</v>
      </c>
      <c r="BO17" s="123" t="s">
        <v>2320</v>
      </c>
      <c r="BP17" s="79">
        <v>44863</v>
      </c>
      <c r="BQ17" s="78">
        <v>410000</v>
      </c>
      <c r="BR17" s="78">
        <f>80000-(Tableau35[[#This Row],[Compteur]]-Tableau35[[#This Row],[Compteur13]])</f>
        <v>3700</v>
      </c>
      <c r="BS17" s="78"/>
      <c r="BT17" s="78"/>
      <c r="BU17" s="78"/>
      <c r="BV17" s="78"/>
      <c r="BW17" s="78">
        <f>80000-(Tableau35[[#This Row],[Compteur]]-Tableau35[[#This Row],[Compteur14]])</f>
        <v>-406300</v>
      </c>
      <c r="BX17" s="78"/>
      <c r="BY17" s="78"/>
      <c r="BZ17" s="78"/>
      <c r="CA17" s="78"/>
      <c r="CB17" s="78">
        <f>80000-(Tableau35[[#This Row],[Compteur]]-Tableau35[[#This Row],[CompteurS1]])</f>
        <v>-406300</v>
      </c>
      <c r="CC17" s="78"/>
      <c r="CD17" s="78"/>
      <c r="CE17" s="78"/>
      <c r="CF17" s="78"/>
      <c r="CG17" s="78">
        <f>80000-(Tableau35[[#This Row],[Compteur]]-Tableau35[[#This Row],[CompteurS2]])</f>
        <v>-406300</v>
      </c>
    </row>
    <row r="18" spans="1:85" ht="30" customHeight="1">
      <c r="A18" s="78">
        <v>480</v>
      </c>
      <c r="B18" s="78" t="s">
        <v>294</v>
      </c>
      <c r="C18" s="78" t="s">
        <v>444</v>
      </c>
      <c r="D18" s="78" t="s">
        <v>447</v>
      </c>
      <c r="E18" s="78">
        <v>437100</v>
      </c>
      <c r="F18" s="123" t="s">
        <v>1471</v>
      </c>
      <c r="G18" s="130" t="s">
        <v>1947</v>
      </c>
      <c r="H18" s="79">
        <v>45168</v>
      </c>
      <c r="I18" s="78">
        <v>415000</v>
      </c>
      <c r="J18" s="78">
        <f>80000-(Tableau35[[#This Row],[Compteur]]-Tableau35[[#This Row],[Compteur1]])</f>
        <v>57900</v>
      </c>
      <c r="K18" s="78" t="s">
        <v>1471</v>
      </c>
      <c r="L18" s="78" t="s">
        <v>1472</v>
      </c>
      <c r="M18" s="79">
        <v>45168</v>
      </c>
      <c r="N18" s="78">
        <v>415000</v>
      </c>
      <c r="O18" s="78">
        <f>80000-(Tableau35[[#This Row],[Compteur]]-Tableau35[[#This Row],[Compteur2]])</f>
        <v>57900</v>
      </c>
      <c r="P18" s="78" t="s">
        <v>1455</v>
      </c>
      <c r="Q18" s="78" t="s">
        <v>1468</v>
      </c>
      <c r="R18" s="79">
        <v>45075</v>
      </c>
      <c r="S18" s="78">
        <v>397000</v>
      </c>
      <c r="T18" s="78">
        <f>80000-(Tableau35[[#This Row],[Compteur]]-Tableau35[[#This Row],[Compteur3]])</f>
        <v>39900</v>
      </c>
      <c r="U18" s="78" t="s">
        <v>1455</v>
      </c>
      <c r="V18" s="78" t="s">
        <v>1469</v>
      </c>
      <c r="W18" s="79">
        <v>45075</v>
      </c>
      <c r="X18" s="78">
        <v>397000</v>
      </c>
      <c r="Y18" s="78">
        <f>80000-(Tableau35[[#This Row],[Compteur]]-Tableau35[[#This Row],[Compteur4]])</f>
        <v>39900</v>
      </c>
      <c r="Z18" s="78" t="s">
        <v>1455</v>
      </c>
      <c r="AA18" s="78" t="s">
        <v>1470</v>
      </c>
      <c r="AB18" s="79">
        <v>44992</v>
      </c>
      <c r="AC18" s="78">
        <v>370000</v>
      </c>
      <c r="AD18" s="78">
        <f>80000-(Tableau35[[#This Row],[Compteur]]-Tableau35[[#This Row],[Compteur5]])</f>
        <v>12900</v>
      </c>
      <c r="AE18" s="78" t="s">
        <v>1455</v>
      </c>
      <c r="AF18" s="78" t="s">
        <v>1467</v>
      </c>
      <c r="AG18" s="79">
        <v>44992</v>
      </c>
      <c r="AH18" s="78">
        <v>370000</v>
      </c>
      <c r="AI18" s="78">
        <f>80000-(Tableau35[[#This Row],[Compteur]]-Tableau35[[#This Row],[Compteur6]])</f>
        <v>12900</v>
      </c>
      <c r="AJ18" s="78"/>
      <c r="AK18" s="78"/>
      <c r="AL18" s="78"/>
      <c r="AM18" s="78"/>
      <c r="AN18" s="78">
        <f>80000-(Tableau35[[#This Row],[Compteur]]-Tableau35[[#This Row],[Compteur7]])</f>
        <v>-357100</v>
      </c>
      <c r="AO18" s="78"/>
      <c r="AP18" s="78"/>
      <c r="AQ18" s="78"/>
      <c r="AR18" s="78"/>
      <c r="AS18" s="78">
        <f>80000-(Tableau35[[#This Row],[Compteur]]-Tableau35[[#This Row],[Compteur8]])</f>
        <v>-357100</v>
      </c>
      <c r="AT18" s="78"/>
      <c r="AU18" s="78"/>
      <c r="AV18" s="78"/>
      <c r="AW18" s="78"/>
      <c r="AX18" s="78">
        <f>80000-(Tableau35[[#This Row],[Compteur]]-Tableau35[[#This Row],[Compteur9]])</f>
        <v>-357100</v>
      </c>
      <c r="AY18" s="78"/>
      <c r="AZ18" s="78"/>
      <c r="BA18" s="78"/>
      <c r="BB18" s="78"/>
      <c r="BC18" s="78">
        <f>80000-(Tableau35[[#This Row],[Compteur]]-Tableau35[[#This Row],[Compteur10]])</f>
        <v>-357100</v>
      </c>
      <c r="BD18" s="78"/>
      <c r="BE18" s="78"/>
      <c r="BF18" s="78"/>
      <c r="BG18" s="78"/>
      <c r="BH18" s="78">
        <f>80000-(Tableau35[[#This Row],[Compteur]]-Tableau35[[#This Row],[Compteur11]])</f>
        <v>-357100</v>
      </c>
      <c r="BI18" s="78"/>
      <c r="BJ18" s="78"/>
      <c r="BK18" s="78"/>
      <c r="BL18" s="78"/>
      <c r="BM18" s="78">
        <f>80000-(Tableau35[[#This Row],[Compteur]]-Tableau35[[#This Row],[Compteur12]])</f>
        <v>-357100</v>
      </c>
      <c r="BN18" s="78"/>
      <c r="BO18" s="78"/>
      <c r="BP18" s="78"/>
      <c r="BQ18" s="78"/>
      <c r="BR18" s="78">
        <f>80000-(Tableau35[[#This Row],[Compteur]]-Tableau35[[#This Row],[Compteur13]])</f>
        <v>-357100</v>
      </c>
      <c r="BS18" s="78"/>
      <c r="BT18" s="78"/>
      <c r="BU18" s="78"/>
      <c r="BV18" s="78"/>
      <c r="BW18" s="78">
        <f>80000-(Tableau35[[#This Row],[Compteur]]-Tableau35[[#This Row],[Compteur14]])</f>
        <v>-357100</v>
      </c>
      <c r="BX18" s="78"/>
      <c r="BY18" s="78"/>
      <c r="BZ18" s="78"/>
      <c r="CA18" s="78"/>
      <c r="CB18" s="78">
        <f>80000-(Tableau35[[#This Row],[Compteur]]-Tableau35[[#This Row],[CompteurS1]])</f>
        <v>-357100</v>
      </c>
      <c r="CC18" s="78"/>
      <c r="CD18" s="78"/>
      <c r="CE18" s="78"/>
      <c r="CF18" s="78"/>
      <c r="CG18" s="78">
        <f>80000-(Tableau35[[#This Row],[Compteur]]-Tableau35[[#This Row],[CompteurS2]])</f>
        <v>-357100</v>
      </c>
    </row>
    <row r="19" spans="1:85" ht="30" customHeight="1">
      <c r="A19" s="78">
        <v>481</v>
      </c>
      <c r="B19" s="78" t="s">
        <v>294</v>
      </c>
      <c r="C19" s="78" t="s">
        <v>444</v>
      </c>
      <c r="D19" s="78" t="s">
        <v>448</v>
      </c>
      <c r="E19" s="78">
        <v>495000</v>
      </c>
      <c r="F19" s="78" t="s">
        <v>1471</v>
      </c>
      <c r="G19" s="123" t="s">
        <v>1948</v>
      </c>
      <c r="H19" s="79">
        <v>45204</v>
      </c>
      <c r="I19" s="78">
        <v>493000</v>
      </c>
      <c r="J19" s="78">
        <f>80000-(Tableau35[[#This Row],[Compteur]]-Tableau35[[#This Row],[Compteur1]])</f>
        <v>78000</v>
      </c>
      <c r="K19" s="123" t="s">
        <v>1471</v>
      </c>
      <c r="L19" s="123" t="s">
        <v>1949</v>
      </c>
      <c r="M19" s="79">
        <v>45204</v>
      </c>
      <c r="N19" s="78">
        <v>493000</v>
      </c>
      <c r="O19" s="78">
        <f>80000-(Tableau35[[#This Row],[Compteur]]-Tableau35[[#This Row],[Compteur2]])</f>
        <v>78000</v>
      </c>
      <c r="P19" s="78" t="s">
        <v>1471</v>
      </c>
      <c r="Q19" s="78" t="s">
        <v>1472</v>
      </c>
      <c r="R19" s="79">
        <v>45204</v>
      </c>
      <c r="S19" s="78">
        <v>493000</v>
      </c>
      <c r="T19" s="78">
        <f>80000-(Tableau35[[#This Row],[Compteur]]-Tableau35[[#This Row],[Compteur3]])</f>
        <v>78000</v>
      </c>
      <c r="U19" s="78" t="s">
        <v>1922</v>
      </c>
      <c r="V19" s="123" t="s">
        <v>1919</v>
      </c>
      <c r="W19" s="79">
        <v>45204</v>
      </c>
      <c r="X19" s="78">
        <v>493000</v>
      </c>
      <c r="Y19" s="78">
        <f>80000-(Tableau35[[#This Row],[Compteur]]-Tableau35[[#This Row],[Compteur4]])</f>
        <v>78000</v>
      </c>
      <c r="Z19" s="78" t="s">
        <v>1922</v>
      </c>
      <c r="AA19" s="123" t="s">
        <v>1950</v>
      </c>
      <c r="AB19" s="79">
        <v>44884</v>
      </c>
      <c r="AC19" s="78">
        <v>419000</v>
      </c>
      <c r="AD19" s="78">
        <f>80000-(Tableau35[[#This Row],[Compteur]]-Tableau35[[#This Row],[Compteur5]])</f>
        <v>4000</v>
      </c>
      <c r="AE19" s="78" t="s">
        <v>1922</v>
      </c>
      <c r="AF19" s="123" t="s">
        <v>1951</v>
      </c>
      <c r="AG19" s="79">
        <v>44884</v>
      </c>
      <c r="AH19" s="78">
        <v>419000</v>
      </c>
      <c r="AI19" s="78">
        <f>80000-(Tableau35[[#This Row],[Compteur]]-Tableau35[[#This Row],[Compteur6]])</f>
        <v>4000</v>
      </c>
      <c r="AJ19" s="78"/>
      <c r="AK19" s="78"/>
      <c r="AL19" s="78"/>
      <c r="AM19" s="78"/>
      <c r="AN19" s="78">
        <f>80000-(Tableau35[[#This Row],[Compteur]]-Tableau35[[#This Row],[Compteur7]])</f>
        <v>-415000</v>
      </c>
      <c r="AO19" s="78"/>
      <c r="AP19" s="78"/>
      <c r="AQ19" s="78"/>
      <c r="AR19" s="78"/>
      <c r="AS19" s="78">
        <f>80000-(Tableau35[[#This Row],[Compteur]]-Tableau35[[#This Row],[Compteur8]])</f>
        <v>-415000</v>
      </c>
      <c r="AT19" s="78"/>
      <c r="AU19" s="78"/>
      <c r="AV19" s="78"/>
      <c r="AW19" s="78"/>
      <c r="AX19" s="78">
        <f>80000-(Tableau35[[#This Row],[Compteur]]-Tableau35[[#This Row],[Compteur9]])</f>
        <v>-415000</v>
      </c>
      <c r="AY19" s="78"/>
      <c r="AZ19" s="78"/>
      <c r="BA19" s="78"/>
      <c r="BB19" s="78"/>
      <c r="BC19" s="78">
        <f>80000-(Tableau35[[#This Row],[Compteur]]-Tableau35[[#This Row],[Compteur10]])</f>
        <v>-415000</v>
      </c>
      <c r="BD19" s="78"/>
      <c r="BE19" s="78"/>
      <c r="BF19" s="78"/>
      <c r="BG19" s="78"/>
      <c r="BH19" s="78">
        <f>80000-(Tableau35[[#This Row],[Compteur]]-Tableau35[[#This Row],[Compteur11]])</f>
        <v>-415000</v>
      </c>
      <c r="BI19" s="78"/>
      <c r="BJ19" s="78"/>
      <c r="BK19" s="78"/>
      <c r="BL19" s="78"/>
      <c r="BM19" s="78">
        <f>80000-(Tableau35[[#This Row],[Compteur]]-Tableau35[[#This Row],[Compteur12]])</f>
        <v>-415000</v>
      </c>
      <c r="BN19" s="78"/>
      <c r="BO19" s="78"/>
      <c r="BP19" s="78"/>
      <c r="BQ19" s="78"/>
      <c r="BR19" s="78">
        <f>80000-(Tableau35[[#This Row],[Compteur]]-Tableau35[[#This Row],[Compteur13]])</f>
        <v>-415000</v>
      </c>
      <c r="BS19" s="78"/>
      <c r="BT19" s="78"/>
      <c r="BU19" s="78"/>
      <c r="BV19" s="78"/>
      <c r="BW19" s="78">
        <f>80000-(Tableau35[[#This Row],[Compteur]]-Tableau35[[#This Row],[Compteur14]])</f>
        <v>-415000</v>
      </c>
      <c r="BX19" s="78"/>
      <c r="BY19" s="78"/>
      <c r="BZ19" s="78"/>
      <c r="CA19" s="78"/>
      <c r="CB19" s="78">
        <f>80000-(Tableau35[[#This Row],[Compteur]]-Tableau35[[#This Row],[CompteurS1]])</f>
        <v>-415000</v>
      </c>
      <c r="CC19" s="78"/>
      <c r="CD19" s="78"/>
      <c r="CE19" s="78"/>
      <c r="CF19" s="78"/>
      <c r="CG19" s="78">
        <f>80000-(Tableau35[[#This Row],[Compteur]]-Tableau35[[#This Row],[CompteurS2]])</f>
        <v>-415000</v>
      </c>
    </row>
    <row r="20" spans="1:85" ht="15" customHeight="1">
      <c r="A20" s="78">
        <v>1</v>
      </c>
      <c r="B20" s="78">
        <v>2</v>
      </c>
      <c r="C20" s="78">
        <v>3</v>
      </c>
      <c r="D20" s="78">
        <v>4</v>
      </c>
      <c r="E20" s="78">
        <v>5</v>
      </c>
      <c r="F20" s="78">
        <v>6</v>
      </c>
      <c r="G20" s="78">
        <v>7</v>
      </c>
      <c r="H20" s="78">
        <v>8</v>
      </c>
      <c r="I20" s="78">
        <v>9</v>
      </c>
      <c r="J20" s="78">
        <v>10</v>
      </c>
      <c r="K20" s="78">
        <v>11</v>
      </c>
      <c r="L20" s="78">
        <v>12</v>
      </c>
      <c r="M20" s="78">
        <v>13</v>
      </c>
      <c r="N20" s="78">
        <v>14</v>
      </c>
      <c r="O20" s="78">
        <v>15</v>
      </c>
      <c r="P20" s="78">
        <v>16</v>
      </c>
      <c r="Q20" s="78">
        <v>17</v>
      </c>
      <c r="R20" s="78">
        <v>18</v>
      </c>
      <c r="S20" s="78">
        <v>19</v>
      </c>
      <c r="T20" s="78">
        <v>20</v>
      </c>
      <c r="U20" s="78">
        <v>21</v>
      </c>
      <c r="V20" s="78">
        <v>22</v>
      </c>
      <c r="W20" s="78">
        <v>23</v>
      </c>
      <c r="X20" s="78">
        <v>24</v>
      </c>
      <c r="Y20" s="78">
        <v>25</v>
      </c>
      <c r="Z20" s="78">
        <v>26</v>
      </c>
      <c r="AA20" s="78">
        <v>27</v>
      </c>
      <c r="AB20" s="78">
        <v>28</v>
      </c>
      <c r="AC20" s="78">
        <v>29</v>
      </c>
      <c r="AD20" s="78">
        <v>30</v>
      </c>
      <c r="AE20" s="78">
        <v>31</v>
      </c>
      <c r="AF20" s="78">
        <v>32</v>
      </c>
      <c r="AG20" s="78">
        <v>33</v>
      </c>
      <c r="AH20" s="78">
        <v>34</v>
      </c>
      <c r="AI20" s="78">
        <v>35</v>
      </c>
      <c r="AJ20" s="78">
        <v>36</v>
      </c>
      <c r="AK20" s="78">
        <v>37</v>
      </c>
      <c r="AL20" s="78">
        <v>38</v>
      </c>
      <c r="AM20" s="78">
        <v>39</v>
      </c>
      <c r="AN20" s="78">
        <v>40</v>
      </c>
      <c r="AO20" s="78">
        <v>41</v>
      </c>
      <c r="AP20" s="78">
        <v>42</v>
      </c>
      <c r="AQ20" s="78">
        <v>43</v>
      </c>
      <c r="AR20" s="78">
        <v>44</v>
      </c>
      <c r="AS20" s="78">
        <v>45</v>
      </c>
      <c r="AT20" s="78">
        <v>46</v>
      </c>
      <c r="AU20" s="78">
        <v>47</v>
      </c>
      <c r="AV20" s="78">
        <v>48</v>
      </c>
      <c r="AW20" s="78">
        <v>49</v>
      </c>
      <c r="AX20" s="78">
        <v>50</v>
      </c>
      <c r="AY20" s="78">
        <v>51</v>
      </c>
      <c r="AZ20" s="78">
        <v>52</v>
      </c>
      <c r="BA20" s="78">
        <v>53</v>
      </c>
      <c r="BB20" s="78">
        <v>54</v>
      </c>
      <c r="BC20" s="78">
        <v>55</v>
      </c>
      <c r="BD20" s="78">
        <v>56</v>
      </c>
      <c r="BE20" s="78">
        <v>57</v>
      </c>
      <c r="BF20" s="78">
        <v>58</v>
      </c>
      <c r="BG20" s="78">
        <v>59</v>
      </c>
      <c r="BH20" s="78">
        <v>60</v>
      </c>
      <c r="BI20" s="78">
        <v>61</v>
      </c>
      <c r="BJ20" s="78">
        <v>62</v>
      </c>
      <c r="BK20" s="78">
        <v>63</v>
      </c>
      <c r="BL20" s="78">
        <v>64</v>
      </c>
      <c r="BM20" s="78">
        <v>65</v>
      </c>
      <c r="BN20" s="78">
        <v>66</v>
      </c>
      <c r="BO20" s="78">
        <v>67</v>
      </c>
      <c r="BP20" s="78">
        <v>68</v>
      </c>
      <c r="BQ20" s="78">
        <v>69</v>
      </c>
      <c r="BR20" s="78">
        <v>70</v>
      </c>
      <c r="BS20" s="78">
        <v>71</v>
      </c>
      <c r="BT20" s="78">
        <v>72</v>
      </c>
      <c r="BU20" s="78">
        <v>73</v>
      </c>
      <c r="BV20" s="78">
        <v>74</v>
      </c>
      <c r="BW20" s="78">
        <v>75</v>
      </c>
      <c r="BX20" s="78">
        <v>76</v>
      </c>
      <c r="BY20" s="78">
        <v>77</v>
      </c>
      <c r="BZ20" s="78">
        <v>78</v>
      </c>
      <c r="CA20" s="78">
        <v>79</v>
      </c>
      <c r="CB20" s="78">
        <v>80</v>
      </c>
      <c r="CC20" s="78">
        <v>81</v>
      </c>
      <c r="CD20" s="78">
        <v>82</v>
      </c>
      <c r="CE20" s="78">
        <v>83</v>
      </c>
      <c r="CF20" s="78">
        <v>84</v>
      </c>
      <c r="CG20" s="78">
        <v>85</v>
      </c>
    </row>
    <row r="21" spans="1:85" ht="15" customHeight="1">
      <c r="A21" s="78"/>
      <c r="B21" s="78"/>
      <c r="C21" s="78"/>
      <c r="D21" s="78"/>
      <c r="E21" s="78"/>
      <c r="F21" s="78"/>
      <c r="G21" s="78"/>
      <c r="H21" s="78"/>
      <c r="I21" s="78"/>
      <c r="J21" s="78"/>
      <c r="K21" s="78"/>
      <c r="L21" s="78"/>
      <c r="M21" s="78"/>
    </row>
    <row r="22" spans="1:85" ht="15" customHeight="1">
      <c r="A22" s="78"/>
      <c r="B22" s="78"/>
      <c r="C22" s="78"/>
      <c r="D22" s="78"/>
      <c r="E22" s="78"/>
      <c r="F22" s="78"/>
      <c r="G22" s="78"/>
      <c r="H22" s="78"/>
      <c r="I22" s="78"/>
      <c r="J22" s="78"/>
      <c r="K22" s="78"/>
      <c r="L22" s="78"/>
      <c r="M22" s="78"/>
    </row>
    <row r="23" spans="1:85" ht="15" customHeight="1">
      <c r="A23" s="127">
        <v>401</v>
      </c>
      <c r="B23" s="78">
        <v>1</v>
      </c>
      <c r="C23" s="78"/>
      <c r="D23" s="78"/>
      <c r="E23" s="78"/>
      <c r="F23" s="78"/>
      <c r="G23" s="78"/>
      <c r="H23" s="78"/>
      <c r="I23" s="78"/>
      <c r="J23" s="78"/>
      <c r="K23" s="78"/>
      <c r="L23" s="78"/>
      <c r="M23" s="78"/>
    </row>
    <row r="24" spans="1:85" ht="15" customHeight="1">
      <c r="A24" s="128">
        <v>403</v>
      </c>
      <c r="B24" s="78">
        <v>2</v>
      </c>
      <c r="C24" s="78"/>
      <c r="D24" s="78"/>
      <c r="E24" s="78"/>
      <c r="F24" s="78"/>
      <c r="G24" s="78"/>
      <c r="H24" s="78"/>
      <c r="I24" s="78"/>
      <c r="J24" s="78"/>
      <c r="K24" s="78"/>
      <c r="L24" s="78"/>
      <c r="M24" s="78"/>
    </row>
    <row r="25" spans="1:85" ht="15" customHeight="1">
      <c r="A25" s="127">
        <v>406</v>
      </c>
      <c r="B25" s="78">
        <v>3</v>
      </c>
      <c r="C25" s="78"/>
      <c r="D25" s="78"/>
      <c r="E25" s="78"/>
      <c r="F25" s="78"/>
      <c r="G25" s="78"/>
      <c r="H25" s="78"/>
      <c r="I25" s="78"/>
      <c r="J25" s="78"/>
      <c r="K25" s="78"/>
      <c r="L25" s="78"/>
      <c r="M25" s="78"/>
    </row>
    <row r="26" spans="1:85" ht="15" customHeight="1">
      <c r="A26" s="128">
        <v>407</v>
      </c>
      <c r="B26" s="78">
        <v>4</v>
      </c>
      <c r="C26" s="78"/>
      <c r="D26" s="78"/>
      <c r="E26" s="78"/>
      <c r="F26" s="78"/>
      <c r="G26" s="78"/>
      <c r="H26" s="78"/>
      <c r="I26" s="78"/>
      <c r="J26" s="78"/>
      <c r="K26" s="78"/>
      <c r="L26" s="78"/>
      <c r="M26" s="78"/>
    </row>
    <row r="27" spans="1:85" ht="18.75">
      <c r="A27" s="127">
        <v>408</v>
      </c>
      <c r="B27" s="78">
        <v>5</v>
      </c>
      <c r="C27" s="78"/>
      <c r="D27" s="78"/>
      <c r="E27" s="78"/>
      <c r="F27" s="78"/>
      <c r="G27" s="78"/>
      <c r="H27" s="78"/>
      <c r="I27" s="78"/>
      <c r="J27" s="78"/>
      <c r="K27" s="78"/>
      <c r="L27" s="78"/>
      <c r="M27" s="78"/>
    </row>
    <row r="28" spans="1:85" ht="15" customHeight="1">
      <c r="A28" s="128">
        <v>409</v>
      </c>
      <c r="B28" s="78">
        <v>6</v>
      </c>
      <c r="C28" s="78"/>
      <c r="D28" s="80"/>
      <c r="E28" s="78"/>
      <c r="F28" s="78"/>
      <c r="G28" s="78"/>
      <c r="H28" s="78"/>
      <c r="I28" s="78"/>
      <c r="J28" s="78"/>
      <c r="K28" s="78"/>
      <c r="L28" s="78"/>
      <c r="M28" s="78"/>
    </row>
    <row r="29" spans="1:85" ht="15" customHeight="1">
      <c r="A29" s="127">
        <v>411</v>
      </c>
      <c r="B29" s="78">
        <v>7</v>
      </c>
      <c r="C29" s="78"/>
      <c r="D29" s="78"/>
      <c r="E29" s="78"/>
      <c r="F29" s="78"/>
      <c r="G29" s="78"/>
      <c r="H29" s="78"/>
      <c r="I29" s="78"/>
      <c r="J29" s="78"/>
      <c r="K29" s="78"/>
      <c r="L29" s="78"/>
      <c r="M29" s="78"/>
    </row>
    <row r="30" spans="1:85" ht="15" customHeight="1">
      <c r="A30" s="128">
        <v>435</v>
      </c>
      <c r="B30" s="78">
        <v>8</v>
      </c>
      <c r="C30" s="78"/>
      <c r="D30" s="78"/>
      <c r="E30" s="78"/>
      <c r="F30" s="78"/>
      <c r="G30" s="78"/>
      <c r="H30" s="78"/>
      <c r="I30" s="78"/>
      <c r="J30" s="78"/>
      <c r="K30" s="78"/>
      <c r="L30" s="78"/>
      <c r="M30" s="78"/>
    </row>
    <row r="31" spans="1:85" ht="15" customHeight="1">
      <c r="A31" s="127">
        <v>438</v>
      </c>
      <c r="B31" s="78">
        <v>9</v>
      </c>
      <c r="C31" s="78"/>
      <c r="D31" s="78"/>
      <c r="E31" s="78"/>
      <c r="F31" s="78"/>
      <c r="G31" s="78"/>
      <c r="H31" s="78"/>
      <c r="I31" s="78"/>
      <c r="J31" s="78"/>
      <c r="K31" s="78"/>
      <c r="L31" s="78"/>
      <c r="M31" s="78"/>
    </row>
    <row r="32" spans="1:85" ht="15" customHeight="1">
      <c r="A32" s="128">
        <v>439</v>
      </c>
      <c r="B32" s="78">
        <v>10</v>
      </c>
      <c r="C32" s="78"/>
      <c r="D32" s="78"/>
      <c r="E32" s="78"/>
      <c r="F32" s="78"/>
      <c r="G32" s="78"/>
      <c r="H32" s="78"/>
      <c r="I32" s="78"/>
      <c r="J32" s="78"/>
      <c r="K32" s="78"/>
      <c r="L32" s="78"/>
      <c r="M32" s="78"/>
    </row>
    <row r="33" spans="1:13" ht="15" customHeight="1">
      <c r="A33" s="127">
        <v>480</v>
      </c>
      <c r="B33" s="78">
        <v>11</v>
      </c>
      <c r="C33" s="78"/>
      <c r="D33" s="78"/>
      <c r="E33" s="78"/>
      <c r="F33" s="78"/>
      <c r="G33" s="78"/>
      <c r="H33" s="78"/>
      <c r="I33" s="78"/>
      <c r="J33" s="78"/>
      <c r="K33" s="78"/>
      <c r="L33" s="78"/>
      <c r="M33" s="78"/>
    </row>
    <row r="34" spans="1:13" ht="15" customHeight="1">
      <c r="A34" s="128">
        <v>481</v>
      </c>
      <c r="B34" s="78">
        <v>12</v>
      </c>
      <c r="C34" s="78"/>
      <c r="D34" s="78"/>
      <c r="E34" s="78"/>
      <c r="F34" s="78"/>
      <c r="G34" s="78"/>
      <c r="H34" s="78"/>
      <c r="I34" s="78"/>
      <c r="J34" s="78"/>
      <c r="K34" s="78"/>
      <c r="L34" s="78"/>
      <c r="M34" s="78"/>
    </row>
    <row r="35" spans="1:13" ht="15" customHeight="1">
      <c r="A35" s="78"/>
      <c r="B35" s="78"/>
      <c r="C35" s="78"/>
      <c r="D35" s="78"/>
      <c r="E35" s="78"/>
      <c r="F35" s="78"/>
      <c r="G35" s="78"/>
      <c r="H35" s="78"/>
      <c r="I35" s="78"/>
      <c r="J35" s="78"/>
      <c r="K35" s="78"/>
      <c r="L35" s="78"/>
      <c r="M35" s="78"/>
    </row>
    <row r="36" spans="1:13" ht="15" customHeight="1">
      <c r="A36" s="78"/>
      <c r="B36" s="78"/>
      <c r="C36" s="78"/>
      <c r="D36" s="78"/>
      <c r="E36" s="78"/>
      <c r="F36" s="78"/>
      <c r="G36" s="78"/>
      <c r="H36" s="78"/>
      <c r="I36" s="78"/>
      <c r="J36" s="78"/>
      <c r="K36" s="78"/>
      <c r="L36" s="78"/>
      <c r="M36" s="78"/>
    </row>
    <row r="37" spans="1:13" ht="15" customHeight="1">
      <c r="A37" s="78"/>
      <c r="B37" s="78"/>
      <c r="C37" s="78"/>
      <c r="D37" s="78"/>
      <c r="E37" s="78"/>
      <c r="F37" s="78"/>
      <c r="G37" s="78"/>
      <c r="H37" s="78"/>
      <c r="I37" s="78"/>
      <c r="J37" s="78"/>
      <c r="K37" s="78"/>
      <c r="L37" s="78"/>
      <c r="M37" s="78"/>
    </row>
    <row r="38" spans="1:13" ht="15" customHeight="1">
      <c r="A38" s="78"/>
      <c r="B38" s="78"/>
      <c r="C38" s="78"/>
      <c r="D38" s="78"/>
      <c r="E38" s="78"/>
      <c r="F38" s="78"/>
      <c r="G38" s="78"/>
      <c r="H38" s="78"/>
      <c r="I38" s="78"/>
      <c r="J38" s="78"/>
      <c r="K38" s="78"/>
      <c r="L38" s="78"/>
      <c r="M38" s="78"/>
    </row>
    <row r="39" spans="1:13" ht="15" customHeight="1">
      <c r="A39" s="78"/>
      <c r="B39" s="80"/>
      <c r="C39" s="78"/>
      <c r="D39" s="78"/>
      <c r="E39" s="78"/>
      <c r="F39" s="78"/>
      <c r="G39" s="78"/>
      <c r="H39" s="78"/>
      <c r="I39" s="78"/>
      <c r="J39" s="78"/>
      <c r="K39" s="78"/>
      <c r="L39" s="78"/>
      <c r="M39" s="78"/>
    </row>
    <row r="40" spans="1:13" ht="15" customHeight="1">
      <c r="A40" s="78"/>
      <c r="B40" s="78"/>
      <c r="C40" s="78"/>
      <c r="D40" s="78"/>
      <c r="E40" s="78"/>
      <c r="F40" s="78"/>
      <c r="G40" s="78"/>
      <c r="H40" s="78"/>
      <c r="I40" s="78"/>
      <c r="J40" s="78"/>
      <c r="K40" s="78"/>
      <c r="L40" s="78"/>
      <c r="M40" s="78"/>
    </row>
  </sheetData>
  <mergeCells count="16">
    <mergeCell ref="AE6:AI6"/>
    <mergeCell ref="F6:J6"/>
    <mergeCell ref="K6:O6"/>
    <mergeCell ref="P6:T6"/>
    <mergeCell ref="U6:Y6"/>
    <mergeCell ref="Z6:AD6"/>
    <mergeCell ref="BN6:BR6"/>
    <mergeCell ref="BS6:BW6"/>
    <mergeCell ref="BX6:CB6"/>
    <mergeCell ref="CC6:CG6"/>
    <mergeCell ref="AJ6:AN6"/>
    <mergeCell ref="AO6:AS6"/>
    <mergeCell ref="AT6:AX6"/>
    <mergeCell ref="AY6:BC6"/>
    <mergeCell ref="BD6:BH6"/>
    <mergeCell ref="BI6:BM6"/>
  </mergeCells>
  <phoneticPr fontId="29"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sheetPr codeName="Feuil10">
    <tabColor theme="0" tint="-0.249977111117893"/>
    <pageSetUpPr fitToPage="1"/>
  </sheetPr>
  <dimension ref="A1:S70"/>
  <sheetViews>
    <sheetView showGridLines="0" topLeftCell="A2" zoomScale="60" zoomScaleNormal="60" workbookViewId="0">
      <selection activeCell="C10" sqref="C10"/>
    </sheetView>
  </sheetViews>
  <sheetFormatPr baseColWidth="10" defaultRowHeight="15.75"/>
  <cols>
    <col min="1" max="1" width="25" customWidth="1"/>
    <col min="2" max="2" width="17.140625" style="102" customWidth="1"/>
    <col min="3" max="3" width="24.5703125" style="102" customWidth="1"/>
    <col min="4" max="4" width="5.7109375" style="102" customWidth="1"/>
    <col min="5" max="5" width="24" style="102" customWidth="1"/>
    <col min="6" max="6" width="18.42578125" customWidth="1"/>
    <col min="7" max="7" width="20.7109375" customWidth="1"/>
    <col min="8" max="8" width="5.7109375" customWidth="1"/>
    <col min="9" max="9" width="17.7109375" customWidth="1"/>
    <col min="10" max="10" width="3.7109375" customWidth="1"/>
    <col min="11" max="11" width="17.7109375" customWidth="1"/>
    <col min="12" max="12" width="18.28515625" customWidth="1"/>
    <col min="13" max="13" width="20.7109375" customWidth="1"/>
    <col min="14" max="14" width="5.7109375" customWidth="1"/>
    <col min="15" max="15" width="15.28515625" customWidth="1"/>
    <col min="16" max="16" width="10.7109375" customWidth="1"/>
    <col min="17" max="17" width="17.7109375" customWidth="1"/>
    <col min="18" max="18" width="20.7109375" customWidth="1"/>
    <col min="19" max="19" width="5.7109375" customWidth="1"/>
  </cols>
  <sheetData>
    <row r="1" spans="1:19" ht="22.5" hidden="1" customHeight="1">
      <c r="A1">
        <f>VLOOKUP(C6,'bdd pneu'!A23:B34,2,FALSE)</f>
        <v>7</v>
      </c>
    </row>
    <row r="2" spans="1:19" ht="18.75" customHeight="1">
      <c r="A2" s="272"/>
      <c r="B2" s="272"/>
      <c r="C2" s="272"/>
      <c r="D2" s="272"/>
      <c r="E2" s="275" t="s">
        <v>1908</v>
      </c>
      <c r="F2" s="276"/>
      <c r="G2" s="276"/>
      <c r="H2" s="276"/>
      <c r="I2" s="276"/>
      <c r="J2" s="276"/>
      <c r="K2" s="276"/>
      <c r="L2" s="276"/>
      <c r="M2" s="276"/>
      <c r="N2" s="276"/>
      <c r="O2" s="277"/>
      <c r="P2" s="274" t="s">
        <v>1914</v>
      </c>
      <c r="Q2" s="274"/>
      <c r="R2" s="274"/>
      <c r="S2" s="274"/>
    </row>
    <row r="3" spans="1:19" ht="18.75" customHeight="1">
      <c r="A3" s="272"/>
      <c r="B3" s="272"/>
      <c r="C3" s="272"/>
      <c r="D3" s="272"/>
      <c r="E3" s="278"/>
      <c r="F3" s="279"/>
      <c r="G3" s="279"/>
      <c r="H3" s="279"/>
      <c r="I3" s="279"/>
      <c r="J3" s="279"/>
      <c r="K3" s="279"/>
      <c r="L3" s="279"/>
      <c r="M3" s="279"/>
      <c r="N3" s="279"/>
      <c r="O3" s="280"/>
      <c r="P3" s="274" t="s">
        <v>1915</v>
      </c>
      <c r="Q3" s="274"/>
      <c r="R3" s="274"/>
      <c r="S3" s="274"/>
    </row>
    <row r="4" spans="1:19" ht="18.75" customHeight="1">
      <c r="A4" s="272"/>
      <c r="B4" s="272"/>
      <c r="C4" s="272"/>
      <c r="D4" s="272"/>
      <c r="E4" s="275" t="s">
        <v>1913</v>
      </c>
      <c r="F4" s="276"/>
      <c r="G4" s="276"/>
      <c r="H4" s="276"/>
      <c r="I4" s="276"/>
      <c r="J4" s="276"/>
      <c r="K4" s="276"/>
      <c r="L4" s="276"/>
      <c r="M4" s="276"/>
      <c r="N4" s="276"/>
      <c r="O4" s="277"/>
      <c r="P4" s="274" t="s">
        <v>1911</v>
      </c>
      <c r="Q4" s="274"/>
      <c r="R4" s="274"/>
      <c r="S4" s="274"/>
    </row>
    <row r="5" spans="1:19" ht="18.75" customHeight="1" thickBot="1">
      <c r="A5" s="272"/>
      <c r="B5" s="273"/>
      <c r="C5" s="273"/>
      <c r="D5" s="272"/>
      <c r="E5" s="278"/>
      <c r="F5" s="279"/>
      <c r="G5" s="279"/>
      <c r="H5" s="279"/>
      <c r="I5" s="279"/>
      <c r="J5" s="279"/>
      <c r="K5" s="279"/>
      <c r="L5" s="279"/>
      <c r="M5" s="279"/>
      <c r="N5" s="279"/>
      <c r="O5" s="280"/>
      <c r="P5" s="274" t="s">
        <v>1446</v>
      </c>
      <c r="Q5" s="274"/>
      <c r="R5" s="274"/>
      <c r="S5" s="274"/>
    </row>
    <row r="6" spans="1:19" ht="46.5" customHeight="1" thickBot="1">
      <c r="A6" s="78"/>
      <c r="B6" s="129" t="s">
        <v>4</v>
      </c>
      <c r="C6" s="129">
        <v>411</v>
      </c>
      <c r="D6" s="103"/>
      <c r="E6" s="104"/>
      <c r="F6" s="81"/>
      <c r="G6" s="81"/>
      <c r="H6" s="81"/>
      <c r="I6" s="81"/>
      <c r="J6" s="81"/>
      <c r="K6" s="81"/>
      <c r="L6" s="81"/>
      <c r="M6" s="81"/>
      <c r="N6" s="81"/>
      <c r="O6" s="81"/>
      <c r="P6" s="82"/>
      <c r="Q6" s="82"/>
      <c r="R6" s="82"/>
    </row>
    <row r="7" spans="1:19" ht="59.25" customHeight="1">
      <c r="I7" s="271" t="s">
        <v>1452</v>
      </c>
      <c r="J7" s="271"/>
      <c r="K7" s="271"/>
    </row>
    <row r="8" spans="1:19" ht="15.75" customHeight="1">
      <c r="B8" s="105" t="s">
        <v>1364</v>
      </c>
      <c r="C8" s="101" t="str">
        <f>INDEX(Tableau35[],$A$1,2)</f>
        <v>Camion</v>
      </c>
      <c r="F8" s="84" t="s">
        <v>1447</v>
      </c>
      <c r="G8" s="83" t="str">
        <f>INDEX(Tableau35[],$A$1,16)</f>
        <v xml:space="preserve">11R22,5 </v>
      </c>
      <c r="J8" s="85"/>
      <c r="L8" s="84" t="s">
        <v>1447</v>
      </c>
      <c r="M8" s="83">
        <f>INDEX(Tableau35[],$A$1,36)</f>
        <v>0</v>
      </c>
      <c r="Q8" s="84" t="s">
        <v>1447</v>
      </c>
      <c r="R8" s="83">
        <f>INDEX(Tableau35[],$A$1,56)</f>
        <v>0</v>
      </c>
    </row>
    <row r="9" spans="1:19" ht="15.75" customHeight="1">
      <c r="B9" s="105" t="s">
        <v>290</v>
      </c>
      <c r="C9" s="101" t="str">
        <f>INDEX(Tableau35[],$A$1,3)</f>
        <v>Renault</v>
      </c>
      <c r="F9" s="84" t="s">
        <v>1448</v>
      </c>
      <c r="G9" s="83" t="str">
        <f>INDEX(Tableau35[],$A$1,17)</f>
        <v>E2S870227</v>
      </c>
      <c r="J9" s="85"/>
      <c r="L9" s="84" t="s">
        <v>1448</v>
      </c>
      <c r="M9" s="83">
        <f>INDEX(Tableau35[],$A$1,37)</f>
        <v>0</v>
      </c>
      <c r="Q9" s="84" t="s">
        <v>1448</v>
      </c>
      <c r="R9" s="83">
        <f>INDEX(Tableau35[],$A$1,57)</f>
        <v>0</v>
      </c>
    </row>
    <row r="10" spans="1:19" ht="15.75" customHeight="1">
      <c r="B10" s="105" t="s">
        <v>1449</v>
      </c>
      <c r="C10" s="101" t="str">
        <f>INDEX(Tableau35[],$A$1,4)</f>
        <v>25636-A-13</v>
      </c>
      <c r="F10" s="86"/>
      <c r="H10" s="87">
        <f>$G$17</f>
        <v>42400</v>
      </c>
      <c r="J10" s="85"/>
      <c r="L10" s="86"/>
      <c r="N10" s="87">
        <f>$M$17</f>
        <v>-849200</v>
      </c>
      <c r="Q10" s="86"/>
      <c r="S10" s="87">
        <f>$S$24</f>
        <v>-849200</v>
      </c>
    </row>
    <row r="11" spans="1:19" ht="15.75" customHeight="1">
      <c r="B11" s="105" t="s">
        <v>1450</v>
      </c>
      <c r="C11" s="101"/>
      <c r="H11" s="87">
        <f t="shared" ref="H11:H15" si="0">$G$17</f>
        <v>42400</v>
      </c>
      <c r="J11" s="85"/>
      <c r="N11" s="87">
        <f t="shared" ref="N11:N15" si="1">$M$17</f>
        <v>-849200</v>
      </c>
      <c r="S11" s="87">
        <f t="shared" ref="S11:S15" si="2">$S$24</f>
        <v>-849200</v>
      </c>
    </row>
    <row r="12" spans="1:19" ht="15.75" customHeight="1">
      <c r="H12" s="87">
        <f t="shared" si="0"/>
        <v>42400</v>
      </c>
      <c r="J12" s="85"/>
      <c r="N12" s="87">
        <f t="shared" si="1"/>
        <v>-849200</v>
      </c>
      <c r="S12" s="87">
        <f t="shared" si="2"/>
        <v>-849200</v>
      </c>
    </row>
    <row r="13" spans="1:19" ht="15.75" customHeight="1">
      <c r="H13" s="87">
        <f t="shared" si="0"/>
        <v>42400</v>
      </c>
      <c r="J13" s="85"/>
      <c r="N13" s="87">
        <f t="shared" si="1"/>
        <v>-849200</v>
      </c>
      <c r="S13" s="87">
        <f t="shared" si="2"/>
        <v>-849200</v>
      </c>
    </row>
    <row r="14" spans="1:19" ht="15.75" customHeight="1">
      <c r="C14" s="106"/>
      <c r="H14" s="87">
        <f t="shared" si="0"/>
        <v>42400</v>
      </c>
      <c r="J14" s="85"/>
      <c r="N14" s="87">
        <f t="shared" si="1"/>
        <v>-849200</v>
      </c>
      <c r="S14" s="87">
        <f t="shared" si="2"/>
        <v>-849200</v>
      </c>
    </row>
    <row r="15" spans="1:19" ht="15.75" customHeight="1">
      <c r="B15" s="107" t="s">
        <v>1447</v>
      </c>
      <c r="C15" s="101" t="str">
        <f>INDEX(Tableau35[],$A$1,6)</f>
        <v xml:space="preserve">11R22,5 </v>
      </c>
      <c r="H15" s="87">
        <f t="shared" si="0"/>
        <v>42400</v>
      </c>
      <c r="J15" s="85"/>
      <c r="N15" s="87">
        <f t="shared" si="1"/>
        <v>-849200</v>
      </c>
      <c r="S15" s="87">
        <f t="shared" si="2"/>
        <v>-849200</v>
      </c>
    </row>
    <row r="16" spans="1:19" ht="15.75" customHeight="1">
      <c r="B16" s="107" t="s">
        <v>1448</v>
      </c>
      <c r="C16" s="101" t="str">
        <f>INDEX(Tableau35[],$A$1,7)</f>
        <v>HUN24455</v>
      </c>
      <c r="F16" s="84" t="s">
        <v>1368</v>
      </c>
      <c r="G16" s="88">
        <f>INDEX(Tableau35[],$A$1,18)</f>
        <v>45098</v>
      </c>
      <c r="J16" s="85"/>
      <c r="L16" s="84" t="s">
        <v>1368</v>
      </c>
      <c r="M16" s="88">
        <f>INDEX(Tableau35[],$A$1,38)</f>
        <v>0</v>
      </c>
      <c r="Q16" s="84" t="s">
        <v>1368</v>
      </c>
      <c r="R16" s="88">
        <f>INDEX(Tableau35[],$A$1,58)</f>
        <v>0</v>
      </c>
    </row>
    <row r="17" spans="2:19" ht="15.75" customHeight="1">
      <c r="B17" s="108"/>
      <c r="D17" s="109">
        <f>$C$24</f>
        <v>47800</v>
      </c>
      <c r="F17" s="84" t="s">
        <v>1451</v>
      </c>
      <c r="G17" s="83">
        <f>INDEX(Tableau35[],$A$1,20)</f>
        <v>42400</v>
      </c>
      <c r="J17" s="85"/>
      <c r="L17" s="84" t="s">
        <v>1451</v>
      </c>
      <c r="M17" s="83">
        <f>INDEX(Tableau35[],$A$1,40)</f>
        <v>-849200</v>
      </c>
      <c r="Q17" s="84" t="s">
        <v>1451</v>
      </c>
      <c r="R17" s="83">
        <f>INDEX(Tableau35[],$A$1,60)</f>
        <v>-849200</v>
      </c>
    </row>
    <row r="18" spans="2:19" ht="15.75" customHeight="1">
      <c r="D18" s="109">
        <f t="shared" ref="D18:D22" si="3">$C$24</f>
        <v>47800</v>
      </c>
      <c r="J18" s="85"/>
    </row>
    <row r="19" spans="2:19" ht="15.75" customHeight="1">
      <c r="D19" s="109">
        <f t="shared" si="3"/>
        <v>47800</v>
      </c>
      <c r="J19" s="85"/>
    </row>
    <row r="20" spans="2:19" ht="15.75" customHeight="1">
      <c r="D20" s="109">
        <f t="shared" si="3"/>
        <v>47800</v>
      </c>
      <c r="F20" s="84" t="s">
        <v>1447</v>
      </c>
      <c r="G20" s="83" t="str">
        <f>INDEX(Tableau35[],$A$1,21)</f>
        <v xml:space="preserve">11R22,5 </v>
      </c>
      <c r="J20" s="85"/>
      <c r="L20" s="84" t="s">
        <v>1447</v>
      </c>
      <c r="M20" s="83">
        <f>INDEX(Tableau35[],$A$1,41)</f>
        <v>0</v>
      </c>
      <c r="Q20" s="84" t="s">
        <v>1447</v>
      </c>
      <c r="R20" s="83">
        <f>INDEX(Tableau35[],$A$1,61)</f>
        <v>0</v>
      </c>
    </row>
    <row r="21" spans="2:19" ht="15.75" customHeight="1">
      <c r="D21" s="109">
        <f t="shared" si="3"/>
        <v>47800</v>
      </c>
      <c r="F21" s="84" t="s">
        <v>1448</v>
      </c>
      <c r="G21" s="83" t="str">
        <f>INDEX(Tableau35[],$A$1,22)</f>
        <v>E2S870227</v>
      </c>
      <c r="J21" s="85"/>
      <c r="L21" s="84" t="s">
        <v>1448</v>
      </c>
      <c r="M21" s="83">
        <f>INDEX(Tableau35[],$A$1,42)</f>
        <v>0</v>
      </c>
      <c r="Q21" s="84" t="s">
        <v>1448</v>
      </c>
      <c r="R21" s="83">
        <f>INDEX(Tableau35[],$A$1,62)</f>
        <v>0</v>
      </c>
    </row>
    <row r="22" spans="2:19" ht="15.75" customHeight="1">
      <c r="D22" s="109">
        <f t="shared" si="3"/>
        <v>47800</v>
      </c>
      <c r="F22" s="86"/>
      <c r="H22" s="87">
        <f>$G$29</f>
        <v>42400</v>
      </c>
      <c r="J22" s="85"/>
      <c r="L22" s="86"/>
      <c r="N22" s="87">
        <f>$M$29</f>
        <v>-849200</v>
      </c>
      <c r="Q22" s="86"/>
      <c r="S22" s="87">
        <f>$R$29</f>
        <v>-849200</v>
      </c>
    </row>
    <row r="23" spans="2:19" ht="15.75" customHeight="1">
      <c r="B23" s="107" t="s">
        <v>1368</v>
      </c>
      <c r="C23" s="110">
        <f>INDEX(Tableau35[],$A$1,8)</f>
        <v>45109</v>
      </c>
      <c r="H23" s="87">
        <f t="shared" ref="H23:H27" si="4">$G$29</f>
        <v>42400</v>
      </c>
      <c r="J23" s="85"/>
      <c r="N23" s="87">
        <f t="shared" ref="N23:N27" si="5">$M$29</f>
        <v>-849200</v>
      </c>
      <c r="S23" s="87">
        <f t="shared" ref="S23:S27" si="6">$R$29</f>
        <v>-849200</v>
      </c>
    </row>
    <row r="24" spans="2:19" ht="15.75" customHeight="1">
      <c r="B24" s="107" t="s">
        <v>1451</v>
      </c>
      <c r="C24" s="101">
        <f>INDEX(Tableau35[],$A$1,10)</f>
        <v>47800</v>
      </c>
      <c r="H24" s="87">
        <f t="shared" si="4"/>
        <v>42400</v>
      </c>
      <c r="J24" s="85"/>
      <c r="N24" s="87">
        <f t="shared" si="5"/>
        <v>-849200</v>
      </c>
      <c r="S24" s="87">
        <f t="shared" si="6"/>
        <v>-849200</v>
      </c>
    </row>
    <row r="25" spans="2:19" ht="15.75" customHeight="1">
      <c r="H25" s="87">
        <f t="shared" si="4"/>
        <v>42400</v>
      </c>
      <c r="J25" s="85"/>
      <c r="N25" s="87">
        <f t="shared" si="5"/>
        <v>-849200</v>
      </c>
      <c r="S25" s="87">
        <f t="shared" si="6"/>
        <v>-849200</v>
      </c>
    </row>
    <row r="26" spans="2:19" ht="15.75" customHeight="1">
      <c r="H26" s="87">
        <f t="shared" si="4"/>
        <v>42400</v>
      </c>
      <c r="J26" s="85"/>
      <c r="N26" s="87">
        <f>$M$29</f>
        <v>-849200</v>
      </c>
      <c r="S26" s="87">
        <f t="shared" si="6"/>
        <v>-849200</v>
      </c>
    </row>
    <row r="27" spans="2:19" ht="15.75" customHeight="1">
      <c r="H27" s="87">
        <f t="shared" si="4"/>
        <v>42400</v>
      </c>
      <c r="J27" s="85"/>
      <c r="N27" s="87">
        <f t="shared" si="5"/>
        <v>-849200</v>
      </c>
      <c r="S27" s="87">
        <f t="shared" si="6"/>
        <v>-849200</v>
      </c>
    </row>
    <row r="28" spans="2:19" ht="15.75" customHeight="1">
      <c r="F28" s="84" t="s">
        <v>1368</v>
      </c>
      <c r="G28" s="88">
        <f>INDEX(Tableau35[],$A$1,23)</f>
        <v>45098</v>
      </c>
      <c r="J28" s="85"/>
      <c r="L28" s="84" t="s">
        <v>1368</v>
      </c>
      <c r="M28" s="88">
        <f>INDEX(Tableau35[],$A$1,43)</f>
        <v>0</v>
      </c>
      <c r="Q28" s="84" t="s">
        <v>1368</v>
      </c>
      <c r="R28" s="88">
        <f>INDEX(Tableau35[],$A$1,63)</f>
        <v>0</v>
      </c>
    </row>
    <row r="29" spans="2:19" ht="15.75" customHeight="1">
      <c r="F29" s="84" t="s">
        <v>1451</v>
      </c>
      <c r="G29" s="83">
        <f>INDEX(Tableau35[],$A$1,25)</f>
        <v>42400</v>
      </c>
      <c r="J29" s="85"/>
      <c r="L29" s="84" t="s">
        <v>1451</v>
      </c>
      <c r="M29" s="83">
        <f>INDEX(Tableau35[],$A$1,45)</f>
        <v>-849200</v>
      </c>
      <c r="Q29" s="84" t="s">
        <v>1451</v>
      </c>
      <c r="R29" s="83">
        <f>INDEX(Tableau35[],$A$1,65)</f>
        <v>-849200</v>
      </c>
    </row>
    <row r="30" spans="2:19" ht="15.75" customHeight="1">
      <c r="J30" s="85"/>
    </row>
    <row r="31" spans="2:19" s="85" customFormat="1" ht="15.75" customHeight="1">
      <c r="B31" s="111"/>
      <c r="C31" s="111"/>
      <c r="D31" s="111"/>
      <c r="E31" s="111"/>
    </row>
    <row r="32" spans="2:19" ht="15.75" customHeight="1">
      <c r="I32" s="271" t="s">
        <v>1453</v>
      </c>
      <c r="J32" s="271"/>
      <c r="K32" s="271"/>
    </row>
    <row r="33" spans="2:19" ht="15.75" customHeight="1">
      <c r="F33" s="84" t="s">
        <v>1447</v>
      </c>
      <c r="G33" s="83" t="str">
        <f>INDEX(Tableau35[],$A$1,26)</f>
        <v xml:space="preserve">11R22,5 </v>
      </c>
      <c r="J33" s="85"/>
      <c r="L33" s="84" t="s">
        <v>1447</v>
      </c>
      <c r="M33" s="83">
        <f>INDEX(Tableau35[],$A$1,46)</f>
        <v>0</v>
      </c>
      <c r="Q33" s="84" t="s">
        <v>1447</v>
      </c>
      <c r="R33" s="83">
        <f>INDEX(Tableau35[],$A$1,66)</f>
        <v>0</v>
      </c>
    </row>
    <row r="34" spans="2:19" ht="15.75" customHeight="1">
      <c r="F34" s="84" t="s">
        <v>1448</v>
      </c>
      <c r="G34" s="83" t="str">
        <f>INDEX(Tableau35[],$A$1,27)</f>
        <v>LKK54555</v>
      </c>
      <c r="J34" s="85"/>
      <c r="L34" s="84" t="s">
        <v>1448</v>
      </c>
      <c r="M34" s="83">
        <f>INDEX(Tableau35[],$A$1,57)</f>
        <v>0</v>
      </c>
      <c r="Q34" s="84" t="s">
        <v>1448</v>
      </c>
      <c r="R34" s="83">
        <f>INDEX(Tableau35[],$A$1,67)</f>
        <v>0</v>
      </c>
    </row>
    <row r="35" spans="2:19" ht="15.75" customHeight="1">
      <c r="F35" s="86"/>
      <c r="H35" s="87">
        <f>$G$42</f>
        <v>42400</v>
      </c>
      <c r="J35" s="85"/>
      <c r="L35" s="86"/>
      <c r="N35" s="87">
        <f>$M$42</f>
        <v>-849200</v>
      </c>
      <c r="Q35" s="86"/>
      <c r="S35" s="87">
        <f>$R$42</f>
        <v>-849200</v>
      </c>
    </row>
    <row r="36" spans="2:19" ht="15.75" customHeight="1">
      <c r="H36" s="87">
        <f t="shared" ref="H36:H40" si="7">$G$42</f>
        <v>42400</v>
      </c>
      <c r="J36" s="85"/>
      <c r="N36" s="87">
        <f t="shared" ref="N36:N40" si="8">$M$42</f>
        <v>-849200</v>
      </c>
      <c r="S36" s="87">
        <f t="shared" ref="S36:S40" si="9">$R$42</f>
        <v>-849200</v>
      </c>
    </row>
    <row r="37" spans="2:19" ht="15.75" customHeight="1">
      <c r="H37" s="87">
        <f t="shared" si="7"/>
        <v>42400</v>
      </c>
      <c r="J37" s="85"/>
      <c r="N37" s="87">
        <f t="shared" si="8"/>
        <v>-849200</v>
      </c>
      <c r="S37" s="87">
        <f t="shared" si="9"/>
        <v>-849200</v>
      </c>
    </row>
    <row r="38" spans="2:19" ht="15.75" customHeight="1">
      <c r="B38" s="107" t="s">
        <v>1447</v>
      </c>
      <c r="C38" s="101" t="str">
        <f>INDEX(Tableau35[],$A$1,11)</f>
        <v xml:space="preserve">11R22,5 </v>
      </c>
      <c r="H38" s="87">
        <f t="shared" si="7"/>
        <v>42400</v>
      </c>
      <c r="J38" s="85"/>
      <c r="N38" s="87">
        <f t="shared" si="8"/>
        <v>-849200</v>
      </c>
      <c r="S38" s="87">
        <f t="shared" si="9"/>
        <v>-849200</v>
      </c>
    </row>
    <row r="39" spans="2:19" ht="15.75" customHeight="1">
      <c r="B39" s="107" t="s">
        <v>1448</v>
      </c>
      <c r="C39" s="101" t="str">
        <f>INDEX(Tableau35[],$A$1,12)</f>
        <v>E2S870227</v>
      </c>
      <c r="H39" s="87">
        <f t="shared" si="7"/>
        <v>42400</v>
      </c>
      <c r="J39" s="85"/>
      <c r="N39" s="87">
        <f t="shared" si="8"/>
        <v>-849200</v>
      </c>
      <c r="S39" s="87">
        <f t="shared" si="9"/>
        <v>-849200</v>
      </c>
    </row>
    <row r="40" spans="2:19" ht="15.75" customHeight="1">
      <c r="B40" s="108"/>
      <c r="D40" s="109">
        <f t="shared" ref="D40:D45" si="10">$C$47</f>
        <v>47800</v>
      </c>
      <c r="H40" s="87">
        <f t="shared" si="7"/>
        <v>42400</v>
      </c>
      <c r="J40" s="85"/>
      <c r="N40" s="87">
        <f t="shared" si="8"/>
        <v>-849200</v>
      </c>
      <c r="S40" s="87">
        <f t="shared" si="9"/>
        <v>-849200</v>
      </c>
    </row>
    <row r="41" spans="2:19" ht="15.75" customHeight="1">
      <c r="D41" s="109">
        <f t="shared" si="10"/>
        <v>47800</v>
      </c>
      <c r="F41" s="84" t="s">
        <v>1368</v>
      </c>
      <c r="G41" s="88">
        <f>INDEX(Tableau35[],$A$1,28)</f>
        <v>45098</v>
      </c>
      <c r="J41" s="85"/>
      <c r="L41" s="84" t="s">
        <v>1368</v>
      </c>
      <c r="M41" s="88">
        <f>INDEX(Tableau35[],$A$1,48)</f>
        <v>0</v>
      </c>
      <c r="Q41" s="84" t="s">
        <v>1368</v>
      </c>
      <c r="R41" s="88">
        <f>INDEX(Tableau35[],$A$1,68)</f>
        <v>0</v>
      </c>
    </row>
    <row r="42" spans="2:19" ht="15.75" customHeight="1">
      <c r="D42" s="109">
        <f t="shared" si="10"/>
        <v>47800</v>
      </c>
      <c r="F42" s="84" t="s">
        <v>1451</v>
      </c>
      <c r="G42" s="83">
        <f>INDEX(Tableau35[],$A$1,30)</f>
        <v>42400</v>
      </c>
      <c r="J42" s="85"/>
      <c r="L42" s="84" t="s">
        <v>1451</v>
      </c>
      <c r="M42" s="83">
        <f>INDEX(Tableau35[],$A$1,50)</f>
        <v>-849200</v>
      </c>
      <c r="Q42" s="84" t="s">
        <v>1451</v>
      </c>
      <c r="R42" s="83">
        <f>INDEX(Tableau35[],$A$1,70)</f>
        <v>-849200</v>
      </c>
    </row>
    <row r="43" spans="2:19" ht="15.75" customHeight="1">
      <c r="D43" s="109">
        <f t="shared" si="10"/>
        <v>47800</v>
      </c>
      <c r="J43" s="85"/>
    </row>
    <row r="44" spans="2:19" ht="15.75" customHeight="1">
      <c r="D44" s="109">
        <f t="shared" si="10"/>
        <v>47800</v>
      </c>
      <c r="J44" s="85"/>
    </row>
    <row r="45" spans="2:19" ht="15.75" customHeight="1">
      <c r="D45" s="109">
        <f t="shared" si="10"/>
        <v>47800</v>
      </c>
      <c r="F45" s="84" t="s">
        <v>1447</v>
      </c>
      <c r="G45" s="83" t="str">
        <f>INDEX(Tableau35[],$A$1,31)</f>
        <v xml:space="preserve">11R22,5 </v>
      </c>
      <c r="J45" s="85"/>
      <c r="L45" s="84" t="s">
        <v>1447</v>
      </c>
      <c r="M45" s="83">
        <f>INDEX(Tableau35[],$A$1,51)</f>
        <v>0</v>
      </c>
      <c r="Q45" s="84" t="s">
        <v>1447</v>
      </c>
      <c r="R45" s="83">
        <f>INDEX(Tableau35[],$A$1,71)</f>
        <v>0</v>
      </c>
    </row>
    <row r="46" spans="2:19" ht="15.75" customHeight="1">
      <c r="B46" s="107" t="s">
        <v>1368</v>
      </c>
      <c r="C46" s="110">
        <f>INDEX(Tableau35[],$A$1,13)</f>
        <v>45109</v>
      </c>
      <c r="F46" s="84" t="s">
        <v>1448</v>
      </c>
      <c r="G46" s="83" t="str">
        <f>INDEX(Tableau35[],$A$1,32)</f>
        <v>LKK54255</v>
      </c>
      <c r="J46" s="85"/>
      <c r="L46" s="84" t="s">
        <v>1448</v>
      </c>
      <c r="M46" s="83">
        <f>INDEX(Tableau35[],$A$1,52)</f>
        <v>0</v>
      </c>
      <c r="Q46" s="84" t="s">
        <v>1448</v>
      </c>
      <c r="R46" s="83">
        <f>INDEX(Tableau35[],$A$1,72)</f>
        <v>0</v>
      </c>
    </row>
    <row r="47" spans="2:19" ht="15.75" customHeight="1">
      <c r="B47" s="107" t="s">
        <v>1451</v>
      </c>
      <c r="C47" s="101">
        <f>INDEX(Tableau35[],$A$1,15)</f>
        <v>47800</v>
      </c>
      <c r="F47" s="86"/>
      <c r="H47" s="87">
        <f>$G$54</f>
        <v>42400</v>
      </c>
      <c r="J47" s="85"/>
      <c r="L47" s="86"/>
      <c r="N47" s="87">
        <f>$M$54</f>
        <v>-849200</v>
      </c>
      <c r="Q47" s="86"/>
      <c r="S47" s="87">
        <f>$R$54</f>
        <v>-849200</v>
      </c>
    </row>
    <row r="48" spans="2:19" ht="15.75" customHeight="1">
      <c r="H48" s="87">
        <f t="shared" ref="H48:H52" si="11">$G$54</f>
        <v>42400</v>
      </c>
      <c r="J48" s="85"/>
      <c r="N48" s="87">
        <f t="shared" ref="N48:N52" si="12">$M$54</f>
        <v>-849200</v>
      </c>
      <c r="S48" s="87">
        <f t="shared" ref="S48:S52" si="13">$R$54</f>
        <v>-849200</v>
      </c>
    </row>
    <row r="49" spans="1:19" ht="15.75" customHeight="1">
      <c r="H49" s="87">
        <f t="shared" si="11"/>
        <v>42400</v>
      </c>
      <c r="J49" s="85"/>
      <c r="N49" s="87">
        <f t="shared" si="12"/>
        <v>-849200</v>
      </c>
      <c r="S49" s="87">
        <f t="shared" si="13"/>
        <v>-849200</v>
      </c>
    </row>
    <row r="50" spans="1:19" ht="15.75" customHeight="1">
      <c r="H50" s="87">
        <f t="shared" si="11"/>
        <v>42400</v>
      </c>
      <c r="J50" s="85"/>
      <c r="N50" s="87">
        <f t="shared" si="12"/>
        <v>-849200</v>
      </c>
      <c r="S50" s="87">
        <f t="shared" si="13"/>
        <v>-849200</v>
      </c>
    </row>
    <row r="51" spans="1:19" ht="15.75" customHeight="1">
      <c r="H51" s="87">
        <f t="shared" si="11"/>
        <v>42400</v>
      </c>
      <c r="J51" s="85"/>
      <c r="N51" s="87">
        <f t="shared" si="12"/>
        <v>-849200</v>
      </c>
      <c r="S51" s="87">
        <f t="shared" si="13"/>
        <v>-849200</v>
      </c>
    </row>
    <row r="52" spans="1:19" ht="15.75" customHeight="1">
      <c r="H52" s="87">
        <f t="shared" si="11"/>
        <v>42400</v>
      </c>
      <c r="J52" s="85"/>
      <c r="N52" s="87">
        <f t="shared" si="12"/>
        <v>-849200</v>
      </c>
      <c r="S52" s="87">
        <f t="shared" si="13"/>
        <v>-849200</v>
      </c>
    </row>
    <row r="53" spans="1:19" ht="15.75" customHeight="1">
      <c r="A53" s="89"/>
      <c r="B53" s="112"/>
      <c r="C53" s="112"/>
      <c r="D53" s="112"/>
      <c r="E53" s="113"/>
      <c r="F53" s="84" t="s">
        <v>1368</v>
      </c>
      <c r="G53" s="88">
        <f>INDEX(Tableau35[],$A$1,33)</f>
        <v>45098</v>
      </c>
      <c r="J53" s="85"/>
      <c r="L53" s="84" t="s">
        <v>1368</v>
      </c>
      <c r="M53" s="88">
        <f>INDEX(Tableau35[],$A$1,53)</f>
        <v>0</v>
      </c>
      <c r="Q53" s="84" t="s">
        <v>1368</v>
      </c>
      <c r="R53" s="88">
        <f>INDEX(Tableau35[],$A$1,73)</f>
        <v>0</v>
      </c>
    </row>
    <row r="54" spans="1:19" ht="15.75" customHeight="1">
      <c r="A54" s="89"/>
      <c r="B54" s="112"/>
      <c r="C54" s="112"/>
      <c r="D54" s="112"/>
      <c r="E54" s="113"/>
      <c r="F54" s="84" t="s">
        <v>1451</v>
      </c>
      <c r="G54" s="83">
        <f>INDEX(Tableau35[],$A$1,35)</f>
        <v>42400</v>
      </c>
      <c r="J54" s="85"/>
      <c r="L54" s="84" t="s">
        <v>1451</v>
      </c>
      <c r="M54" s="83">
        <f>INDEX(Tableau35[],$A$1,55)</f>
        <v>-849200</v>
      </c>
      <c r="Q54" s="84" t="s">
        <v>1451</v>
      </c>
      <c r="R54" s="83">
        <f>INDEX(Tableau35[],$A$1,75)</f>
        <v>-849200</v>
      </c>
    </row>
    <row r="55" spans="1:19" ht="15.75" customHeight="1">
      <c r="A55" s="89"/>
      <c r="B55" s="112"/>
      <c r="C55" s="112"/>
      <c r="D55" s="112"/>
      <c r="E55" s="113"/>
      <c r="F55" s="89"/>
      <c r="G55" s="89"/>
      <c r="J55" s="85"/>
    </row>
    <row r="56" spans="1:19" ht="15.75" customHeight="1">
      <c r="A56" s="89"/>
      <c r="B56" s="112"/>
      <c r="C56" s="112"/>
      <c r="D56" s="112"/>
      <c r="E56" s="113"/>
      <c r="F56" s="89"/>
      <c r="G56" s="89"/>
      <c r="J56" s="85"/>
    </row>
    <row r="57" spans="1:19" ht="15.75" customHeight="1">
      <c r="F57" s="85"/>
      <c r="G57" s="85"/>
      <c r="H57" s="85"/>
      <c r="I57" s="85"/>
      <c r="J57" s="85"/>
      <c r="K57" s="85"/>
      <c r="L57" s="85"/>
      <c r="M57" s="85"/>
      <c r="N57" s="85"/>
    </row>
    <row r="58" spans="1:19" ht="15.75" customHeight="1">
      <c r="I58" s="271" t="s">
        <v>1454</v>
      </c>
      <c r="J58" s="271"/>
      <c r="K58" s="271"/>
    </row>
    <row r="59" spans="1:19" ht="15.75" customHeight="1">
      <c r="J59" s="85"/>
    </row>
    <row r="60" spans="1:19" ht="15.75" customHeight="1">
      <c r="F60" s="84" t="s">
        <v>1447</v>
      </c>
      <c r="G60" s="83" t="str">
        <f>INDEX(Tableau35[],$A$1,31)</f>
        <v xml:space="preserve">11R22,5 </v>
      </c>
      <c r="J60" s="85"/>
      <c r="L60" s="84" t="s">
        <v>1447</v>
      </c>
      <c r="M60" s="83" t="str">
        <f>INDEX(Tableau35[],$A$1,31)</f>
        <v xml:space="preserve">11R22,5 </v>
      </c>
    </row>
    <row r="61" spans="1:19" ht="15.75" customHeight="1">
      <c r="F61" s="84" t="s">
        <v>1448</v>
      </c>
      <c r="G61" s="83" t="str">
        <f>INDEX(Tableau35[],$A$1,32)</f>
        <v>LKK54255</v>
      </c>
      <c r="J61" s="85"/>
      <c r="L61" s="84" t="s">
        <v>1448</v>
      </c>
      <c r="M61" s="83" t="str">
        <f>INDEX(Tableau35[],$A$1,32)</f>
        <v>LKK54255</v>
      </c>
    </row>
    <row r="62" spans="1:19" ht="15.75" customHeight="1">
      <c r="F62" s="86"/>
      <c r="H62" s="87">
        <f>$G$54</f>
        <v>42400</v>
      </c>
      <c r="J62" s="85"/>
      <c r="L62" s="86"/>
      <c r="N62" s="87">
        <f>$G$54</f>
        <v>42400</v>
      </c>
    </row>
    <row r="63" spans="1:19" ht="15.75" customHeight="1">
      <c r="H63" s="87">
        <f t="shared" ref="H63:H67" si="14">$G$54</f>
        <v>42400</v>
      </c>
      <c r="J63" s="85"/>
      <c r="N63" s="87">
        <f t="shared" ref="N63:N67" si="15">$G$54</f>
        <v>42400</v>
      </c>
    </row>
    <row r="64" spans="1:19" ht="15.75" customHeight="1">
      <c r="H64" s="87">
        <f t="shared" si="14"/>
        <v>42400</v>
      </c>
      <c r="J64" s="85"/>
      <c r="N64" s="87">
        <f t="shared" si="15"/>
        <v>42400</v>
      </c>
    </row>
    <row r="65" spans="6:14" ht="15.75" customHeight="1">
      <c r="H65" s="87">
        <f t="shared" si="14"/>
        <v>42400</v>
      </c>
      <c r="J65" s="85"/>
      <c r="N65" s="87">
        <f t="shared" si="15"/>
        <v>42400</v>
      </c>
    </row>
    <row r="66" spans="6:14" ht="15.75" customHeight="1">
      <c r="H66" s="87">
        <f t="shared" si="14"/>
        <v>42400</v>
      </c>
      <c r="J66" s="85"/>
      <c r="N66" s="87">
        <f t="shared" si="15"/>
        <v>42400</v>
      </c>
    </row>
    <row r="67" spans="6:14" ht="15.75" customHeight="1">
      <c r="H67" s="87">
        <f t="shared" si="14"/>
        <v>42400</v>
      </c>
      <c r="J67" s="85"/>
      <c r="N67" s="87">
        <f t="shared" si="15"/>
        <v>42400</v>
      </c>
    </row>
    <row r="68" spans="6:14" ht="15.75" customHeight="1">
      <c r="F68" s="84" t="s">
        <v>1368</v>
      </c>
      <c r="G68" s="88">
        <f>INDEX(Tableau35[],$A$1,33)</f>
        <v>45098</v>
      </c>
      <c r="J68" s="85"/>
      <c r="L68" s="84" t="s">
        <v>1368</v>
      </c>
      <c r="M68" s="88">
        <f>INDEX(Tableau35[],$A$1,33)</f>
        <v>45098</v>
      </c>
    </row>
    <row r="69" spans="6:14" ht="15.75" customHeight="1">
      <c r="F69" s="84" t="s">
        <v>1451</v>
      </c>
      <c r="G69" s="83">
        <f>INDEX(Tableau35[],$A$1,35)</f>
        <v>42400</v>
      </c>
      <c r="J69" s="85"/>
      <c r="L69" s="84" t="s">
        <v>1451</v>
      </c>
      <c r="M69" s="83">
        <f>INDEX(Tableau35[],$A$1,35)</f>
        <v>42400</v>
      </c>
    </row>
    <row r="70" spans="6:14">
      <c r="J70" s="85"/>
    </row>
  </sheetData>
  <mergeCells count="10">
    <mergeCell ref="I32:K32"/>
    <mergeCell ref="I58:K58"/>
    <mergeCell ref="A2:D5"/>
    <mergeCell ref="P2:S2"/>
    <mergeCell ref="P3:S3"/>
    <mergeCell ref="P4:S4"/>
    <mergeCell ref="P5:S5"/>
    <mergeCell ref="I7:K7"/>
    <mergeCell ref="E4:O5"/>
    <mergeCell ref="E2:O3"/>
  </mergeCells>
  <conditionalFormatting sqref="D17">
    <cfRule type="cellIs" dxfId="208" priority="191" operator="lessThanOrEqual">
      <formula>70000</formula>
    </cfRule>
    <cfRule type="cellIs" dxfId="207" priority="192" operator="between">
      <formula>70000</formula>
      <formula>80000</formula>
    </cfRule>
  </conditionalFormatting>
  <conditionalFormatting sqref="D18">
    <cfRule type="cellIs" dxfId="206" priority="189" operator="lessThanOrEqual">
      <formula>56000</formula>
    </cfRule>
    <cfRule type="cellIs" dxfId="205" priority="190" operator="between">
      <formula>56000</formula>
      <formula>70000</formula>
    </cfRule>
  </conditionalFormatting>
  <conditionalFormatting sqref="D19">
    <cfRule type="cellIs" dxfId="204" priority="187" operator="lessThanOrEqual">
      <formula>42000</formula>
    </cfRule>
    <cfRule type="cellIs" dxfId="203" priority="188" operator="between">
      <formula>42000</formula>
      <formula>56000</formula>
    </cfRule>
  </conditionalFormatting>
  <conditionalFormatting sqref="D20">
    <cfRule type="cellIs" dxfId="202" priority="185" operator="lessThanOrEqual">
      <formula>28000</formula>
    </cfRule>
    <cfRule type="cellIs" dxfId="201" priority="186" operator="between">
      <formula>28000</formula>
      <formula>42000</formula>
    </cfRule>
  </conditionalFormatting>
  <conditionalFormatting sqref="D21">
    <cfRule type="cellIs" dxfId="200" priority="183" operator="lessThanOrEqual">
      <formula>14000</formula>
    </cfRule>
    <cfRule type="cellIs" dxfId="199" priority="184" operator="between">
      <formula>14000</formula>
      <formula>28000</formula>
    </cfRule>
  </conditionalFormatting>
  <conditionalFormatting sqref="D22">
    <cfRule type="cellIs" dxfId="198" priority="181" operator="lessThanOrEqual">
      <formula>0</formula>
    </cfRule>
    <cfRule type="cellIs" dxfId="197" priority="182" operator="between">
      <formula>0</formula>
      <formula>14000</formula>
    </cfRule>
  </conditionalFormatting>
  <conditionalFormatting sqref="D40">
    <cfRule type="cellIs" dxfId="196" priority="179" operator="lessThanOrEqual">
      <formula>70000</formula>
    </cfRule>
    <cfRule type="cellIs" dxfId="195" priority="180" operator="between">
      <formula>70000</formula>
      <formula>80000</formula>
    </cfRule>
  </conditionalFormatting>
  <conditionalFormatting sqref="D41">
    <cfRule type="cellIs" dxfId="194" priority="177" operator="lessThanOrEqual">
      <formula>56000</formula>
    </cfRule>
    <cfRule type="cellIs" dxfId="193" priority="178" operator="between">
      <formula>56000</formula>
      <formula>70000</formula>
    </cfRule>
  </conditionalFormatting>
  <conditionalFormatting sqref="D42">
    <cfRule type="cellIs" dxfId="192" priority="175" operator="lessThanOrEqual">
      <formula>42000</formula>
    </cfRule>
    <cfRule type="cellIs" dxfId="191" priority="176" operator="between">
      <formula>42000</formula>
      <formula>56000</formula>
    </cfRule>
  </conditionalFormatting>
  <conditionalFormatting sqref="D43">
    <cfRule type="cellIs" dxfId="190" priority="173" operator="lessThanOrEqual">
      <formula>28000</formula>
    </cfRule>
    <cfRule type="cellIs" dxfId="189" priority="174" operator="between">
      <formula>28000</formula>
      <formula>42000</formula>
    </cfRule>
  </conditionalFormatting>
  <conditionalFormatting sqref="D44">
    <cfRule type="cellIs" dxfId="188" priority="171" operator="lessThanOrEqual">
      <formula>14000</formula>
    </cfRule>
    <cfRule type="cellIs" dxfId="187" priority="172" operator="between">
      <formula>14000</formula>
      <formula>28000</formula>
    </cfRule>
  </conditionalFormatting>
  <conditionalFormatting sqref="D45">
    <cfRule type="cellIs" dxfId="186" priority="169" operator="lessThanOrEqual">
      <formula>0</formula>
    </cfRule>
    <cfRule type="cellIs" dxfId="185" priority="170" operator="between">
      <formula>0</formula>
      <formula>14000</formula>
    </cfRule>
  </conditionalFormatting>
  <conditionalFormatting sqref="H10">
    <cfRule type="cellIs" dxfId="184" priority="167" operator="lessThanOrEqual">
      <formula>70000</formula>
    </cfRule>
    <cfRule type="cellIs" dxfId="183" priority="168" operator="between">
      <formula>70000</formula>
      <formula>80000</formula>
    </cfRule>
  </conditionalFormatting>
  <conditionalFormatting sqref="H11">
    <cfRule type="cellIs" dxfId="182" priority="165" operator="lessThanOrEqual">
      <formula>56000</formula>
    </cfRule>
    <cfRule type="cellIs" dxfId="181" priority="166" operator="between">
      <formula>56000</formula>
      <formula>70000</formula>
    </cfRule>
  </conditionalFormatting>
  <conditionalFormatting sqref="H12">
    <cfRule type="cellIs" dxfId="180" priority="163" operator="lessThanOrEqual">
      <formula>42000</formula>
    </cfRule>
    <cfRule type="cellIs" dxfId="179" priority="164" operator="between">
      <formula>42000</formula>
      <formula>56000</formula>
    </cfRule>
  </conditionalFormatting>
  <conditionalFormatting sqref="H13">
    <cfRule type="cellIs" dxfId="178" priority="161" operator="lessThanOrEqual">
      <formula>28000</formula>
    </cfRule>
    <cfRule type="cellIs" dxfId="177" priority="162" operator="between">
      <formula>28000</formula>
      <formula>42000</formula>
    </cfRule>
  </conditionalFormatting>
  <conditionalFormatting sqref="H14">
    <cfRule type="cellIs" dxfId="176" priority="159" operator="lessThanOrEqual">
      <formula>14000</formula>
    </cfRule>
    <cfRule type="cellIs" dxfId="175" priority="160" operator="between">
      <formula>14000</formula>
      <formula>28000</formula>
    </cfRule>
  </conditionalFormatting>
  <conditionalFormatting sqref="H15">
    <cfRule type="cellIs" dxfId="174" priority="157" operator="lessThanOrEqual">
      <formula>0</formula>
    </cfRule>
    <cfRule type="cellIs" dxfId="173" priority="158" operator="between">
      <formula>0</formula>
      <formula>14000</formula>
    </cfRule>
  </conditionalFormatting>
  <conditionalFormatting sqref="H22">
    <cfRule type="cellIs" dxfId="172" priority="155" operator="lessThanOrEqual">
      <formula>70000</formula>
    </cfRule>
    <cfRule type="cellIs" dxfId="171" priority="156" operator="between">
      <formula>70000</formula>
      <formula>80000</formula>
    </cfRule>
  </conditionalFormatting>
  <conditionalFormatting sqref="H23">
    <cfRule type="cellIs" dxfId="170" priority="153" operator="lessThanOrEqual">
      <formula>56000</formula>
    </cfRule>
    <cfRule type="cellIs" dxfId="169" priority="154" operator="between">
      <formula>56000</formula>
      <formula>70000</formula>
    </cfRule>
  </conditionalFormatting>
  <conditionalFormatting sqref="H24">
    <cfRule type="cellIs" dxfId="168" priority="151" operator="lessThanOrEqual">
      <formula>42000</formula>
    </cfRule>
    <cfRule type="cellIs" dxfId="167" priority="152" operator="between">
      <formula>42000</formula>
      <formula>56000</formula>
    </cfRule>
  </conditionalFormatting>
  <conditionalFormatting sqref="H25">
    <cfRule type="cellIs" dxfId="166" priority="149" operator="lessThanOrEqual">
      <formula>28000</formula>
    </cfRule>
    <cfRule type="cellIs" dxfId="165" priority="150" operator="between">
      <formula>28000</formula>
      <formula>42000</formula>
    </cfRule>
  </conditionalFormatting>
  <conditionalFormatting sqref="H26">
    <cfRule type="cellIs" dxfId="164" priority="147" operator="lessThanOrEqual">
      <formula>14000</formula>
    </cfRule>
    <cfRule type="cellIs" dxfId="163" priority="148" operator="between">
      <formula>14000</formula>
      <formula>28000</formula>
    </cfRule>
  </conditionalFormatting>
  <conditionalFormatting sqref="H27">
    <cfRule type="cellIs" dxfId="162" priority="145" operator="lessThanOrEqual">
      <formula>0</formula>
    </cfRule>
    <cfRule type="cellIs" dxfId="161" priority="146" operator="between">
      <formula>0</formula>
      <formula>14000</formula>
    </cfRule>
  </conditionalFormatting>
  <conditionalFormatting sqref="H35">
    <cfRule type="cellIs" dxfId="160" priority="143" operator="lessThanOrEqual">
      <formula>70000</formula>
    </cfRule>
    <cfRule type="cellIs" dxfId="159" priority="144" operator="between">
      <formula>70000</formula>
      <formula>80000</formula>
    </cfRule>
  </conditionalFormatting>
  <conditionalFormatting sqref="H36">
    <cfRule type="cellIs" dxfId="158" priority="141" operator="lessThanOrEqual">
      <formula>56000</formula>
    </cfRule>
    <cfRule type="cellIs" dxfId="157" priority="142" operator="between">
      <formula>56000</formula>
      <formula>70000</formula>
    </cfRule>
  </conditionalFormatting>
  <conditionalFormatting sqref="H37">
    <cfRule type="cellIs" dxfId="156" priority="139" operator="lessThanOrEqual">
      <formula>42000</formula>
    </cfRule>
    <cfRule type="cellIs" dxfId="155" priority="140" operator="between">
      <formula>42000</formula>
      <formula>56000</formula>
    </cfRule>
  </conditionalFormatting>
  <conditionalFormatting sqref="H38">
    <cfRule type="cellIs" dxfId="154" priority="137" operator="lessThanOrEqual">
      <formula>28000</formula>
    </cfRule>
    <cfRule type="cellIs" dxfId="153" priority="138" operator="between">
      <formula>28000</formula>
      <formula>42000</formula>
    </cfRule>
  </conditionalFormatting>
  <conditionalFormatting sqref="H39">
    <cfRule type="cellIs" dxfId="152" priority="135" operator="lessThanOrEqual">
      <formula>14000</formula>
    </cfRule>
    <cfRule type="cellIs" dxfId="151" priority="136" operator="between">
      <formula>14000</formula>
      <formula>28000</formula>
    </cfRule>
  </conditionalFormatting>
  <conditionalFormatting sqref="H40">
    <cfRule type="cellIs" dxfId="150" priority="133" operator="lessThanOrEqual">
      <formula>0</formula>
    </cfRule>
    <cfRule type="cellIs" dxfId="149" priority="134" operator="between">
      <formula>0</formula>
      <formula>14000</formula>
    </cfRule>
  </conditionalFormatting>
  <conditionalFormatting sqref="H47">
    <cfRule type="cellIs" dxfId="148" priority="131" operator="lessThanOrEqual">
      <formula>70000</formula>
    </cfRule>
    <cfRule type="cellIs" dxfId="147" priority="132" operator="between">
      <formula>70000</formula>
      <formula>80000</formula>
    </cfRule>
  </conditionalFormatting>
  <conditionalFormatting sqref="H48">
    <cfRule type="cellIs" dxfId="146" priority="129" operator="lessThanOrEqual">
      <formula>56000</formula>
    </cfRule>
    <cfRule type="cellIs" dxfId="145" priority="130" operator="between">
      <formula>56000</formula>
      <formula>70000</formula>
    </cfRule>
  </conditionalFormatting>
  <conditionalFormatting sqref="H49">
    <cfRule type="cellIs" dxfId="144" priority="127" operator="lessThanOrEqual">
      <formula>42000</formula>
    </cfRule>
    <cfRule type="cellIs" dxfId="143" priority="128" operator="between">
      <formula>42000</formula>
      <formula>56000</formula>
    </cfRule>
  </conditionalFormatting>
  <conditionalFormatting sqref="H50">
    <cfRule type="cellIs" dxfId="142" priority="125" operator="lessThanOrEqual">
      <formula>28000</formula>
    </cfRule>
    <cfRule type="cellIs" dxfId="141" priority="126" operator="between">
      <formula>28000</formula>
      <formula>42000</formula>
    </cfRule>
  </conditionalFormatting>
  <conditionalFormatting sqref="H51">
    <cfRule type="cellIs" dxfId="140" priority="123" operator="lessThanOrEqual">
      <formula>14000</formula>
    </cfRule>
    <cfRule type="cellIs" dxfId="139" priority="124" operator="between">
      <formula>14000</formula>
      <formula>28000</formula>
    </cfRule>
  </conditionalFormatting>
  <conditionalFormatting sqref="H52">
    <cfRule type="cellIs" dxfId="138" priority="121" operator="lessThanOrEqual">
      <formula>0</formula>
    </cfRule>
    <cfRule type="cellIs" dxfId="137" priority="122" operator="between">
      <formula>0</formula>
      <formula>14000</formula>
    </cfRule>
  </conditionalFormatting>
  <conditionalFormatting sqref="H62">
    <cfRule type="cellIs" dxfId="136" priority="23" operator="lessThanOrEqual">
      <formula>70000</formula>
    </cfRule>
    <cfRule type="cellIs" dxfId="135" priority="24" operator="between">
      <formula>70000</formula>
      <formula>80000</formula>
    </cfRule>
  </conditionalFormatting>
  <conditionalFormatting sqref="H63">
    <cfRule type="cellIs" dxfId="134" priority="21" operator="lessThanOrEqual">
      <formula>56000</formula>
    </cfRule>
    <cfRule type="cellIs" dxfId="133" priority="22" operator="between">
      <formula>56000</formula>
      <formula>70000</formula>
    </cfRule>
  </conditionalFormatting>
  <conditionalFormatting sqref="H64">
    <cfRule type="cellIs" dxfId="132" priority="19" operator="lessThanOrEqual">
      <formula>42000</formula>
    </cfRule>
    <cfRule type="cellIs" dxfId="131" priority="20" operator="between">
      <formula>42000</formula>
      <formula>56000</formula>
    </cfRule>
  </conditionalFormatting>
  <conditionalFormatting sqref="H65">
    <cfRule type="cellIs" dxfId="130" priority="17" operator="lessThanOrEqual">
      <formula>28000</formula>
    </cfRule>
    <cfRule type="cellIs" dxfId="129" priority="18" operator="between">
      <formula>28000</formula>
      <formula>42000</formula>
    </cfRule>
  </conditionalFormatting>
  <conditionalFormatting sqref="H66">
    <cfRule type="cellIs" dxfId="128" priority="15" operator="lessThanOrEqual">
      <formula>14000</formula>
    </cfRule>
    <cfRule type="cellIs" dxfId="127" priority="16" operator="between">
      <formula>14000</formula>
      <formula>28000</formula>
    </cfRule>
  </conditionalFormatting>
  <conditionalFormatting sqref="H67">
    <cfRule type="cellIs" dxfId="126" priority="13" operator="lessThanOrEqual">
      <formula>0</formula>
    </cfRule>
    <cfRule type="cellIs" dxfId="125" priority="14" operator="between">
      <formula>0</formula>
      <formula>14000</formula>
    </cfRule>
  </conditionalFormatting>
  <conditionalFormatting sqref="N10:N15">
    <cfRule type="cellIs" dxfId="124" priority="119" operator="lessThanOrEqual">
      <formula>70000</formula>
    </cfRule>
    <cfRule type="cellIs" dxfId="123" priority="120" operator="between">
      <formula>70000</formula>
      <formula>80000</formula>
    </cfRule>
  </conditionalFormatting>
  <conditionalFormatting sqref="N22">
    <cfRule type="cellIs" dxfId="122" priority="107" operator="lessThanOrEqual">
      <formula>70000</formula>
    </cfRule>
    <cfRule type="cellIs" dxfId="121" priority="108" operator="between">
      <formula>70000</formula>
      <formula>80000</formula>
    </cfRule>
  </conditionalFormatting>
  <conditionalFormatting sqref="N23">
    <cfRule type="cellIs" dxfId="120" priority="105" operator="lessThanOrEqual">
      <formula>56000</formula>
    </cfRule>
    <cfRule type="cellIs" dxfId="119" priority="106" operator="between">
      <formula>56000</formula>
      <formula>70000</formula>
    </cfRule>
  </conditionalFormatting>
  <conditionalFormatting sqref="N24">
    <cfRule type="cellIs" dxfId="118" priority="103" operator="lessThanOrEqual">
      <formula>42000</formula>
    </cfRule>
    <cfRule type="cellIs" dxfId="117" priority="104" operator="between">
      <formula>42000</formula>
      <formula>56000</formula>
    </cfRule>
  </conditionalFormatting>
  <conditionalFormatting sqref="N25">
    <cfRule type="cellIs" dxfId="116" priority="101" operator="lessThanOrEqual">
      <formula>28000</formula>
    </cfRule>
    <cfRule type="cellIs" dxfId="115" priority="102" operator="between">
      <formula>28000</formula>
      <formula>42000</formula>
    </cfRule>
  </conditionalFormatting>
  <conditionalFormatting sqref="N26">
    <cfRule type="cellIs" dxfId="114" priority="99" operator="lessThanOrEqual">
      <formula>14000</formula>
    </cfRule>
    <cfRule type="cellIs" dxfId="113" priority="100" operator="between">
      <formula>14000</formula>
      <formula>28000</formula>
    </cfRule>
  </conditionalFormatting>
  <conditionalFormatting sqref="N27">
    <cfRule type="cellIs" dxfId="112" priority="97" operator="lessThanOrEqual">
      <formula>0</formula>
    </cfRule>
    <cfRule type="cellIs" dxfId="111" priority="98" operator="between">
      <formula>0</formula>
      <formula>14000</formula>
    </cfRule>
  </conditionalFormatting>
  <conditionalFormatting sqref="N35">
    <cfRule type="cellIs" dxfId="110" priority="95" operator="lessThanOrEqual">
      <formula>70000</formula>
    </cfRule>
    <cfRule type="cellIs" dxfId="109" priority="96" operator="between">
      <formula>70000</formula>
      <formula>80000</formula>
    </cfRule>
  </conditionalFormatting>
  <conditionalFormatting sqref="N36">
    <cfRule type="cellIs" dxfId="108" priority="93" operator="lessThanOrEqual">
      <formula>56000</formula>
    </cfRule>
    <cfRule type="cellIs" dxfId="107" priority="94" operator="between">
      <formula>56000</formula>
      <formula>70000</formula>
    </cfRule>
  </conditionalFormatting>
  <conditionalFormatting sqref="N37">
    <cfRule type="cellIs" dxfId="106" priority="91" operator="lessThanOrEqual">
      <formula>42000</formula>
    </cfRule>
    <cfRule type="cellIs" dxfId="105" priority="92" operator="between">
      <formula>42000</formula>
      <formula>56000</formula>
    </cfRule>
  </conditionalFormatting>
  <conditionalFormatting sqref="N38">
    <cfRule type="cellIs" dxfId="104" priority="89" operator="lessThanOrEqual">
      <formula>28000</formula>
    </cfRule>
    <cfRule type="cellIs" dxfId="103" priority="90" operator="between">
      <formula>28000</formula>
      <formula>42000</formula>
    </cfRule>
  </conditionalFormatting>
  <conditionalFormatting sqref="N39">
    <cfRule type="cellIs" dxfId="102" priority="87" operator="lessThanOrEqual">
      <formula>14000</formula>
    </cfRule>
    <cfRule type="cellIs" dxfId="101" priority="88" operator="between">
      <formula>14000</formula>
      <formula>28000</formula>
    </cfRule>
  </conditionalFormatting>
  <conditionalFormatting sqref="N40">
    <cfRule type="cellIs" dxfId="100" priority="85" operator="lessThanOrEqual">
      <formula>0</formula>
    </cfRule>
    <cfRule type="cellIs" dxfId="99" priority="86" operator="between">
      <formula>0</formula>
      <formula>14000</formula>
    </cfRule>
  </conditionalFormatting>
  <conditionalFormatting sqref="N47">
    <cfRule type="cellIs" dxfId="98" priority="83" operator="lessThanOrEqual">
      <formula>70000</formula>
    </cfRule>
    <cfRule type="cellIs" dxfId="97" priority="84" operator="between">
      <formula>70000</formula>
      <formula>80000</formula>
    </cfRule>
  </conditionalFormatting>
  <conditionalFormatting sqref="N48">
    <cfRule type="cellIs" dxfId="96" priority="81" operator="lessThanOrEqual">
      <formula>56000</formula>
    </cfRule>
    <cfRule type="cellIs" dxfId="95" priority="82" operator="between">
      <formula>56000</formula>
      <formula>70000</formula>
    </cfRule>
  </conditionalFormatting>
  <conditionalFormatting sqref="N49">
    <cfRule type="cellIs" dxfId="94" priority="79" operator="lessThanOrEqual">
      <formula>42000</formula>
    </cfRule>
    <cfRule type="cellIs" dxfId="93" priority="80" operator="between">
      <formula>42000</formula>
      <formula>56000</formula>
    </cfRule>
  </conditionalFormatting>
  <conditionalFormatting sqref="N50">
    <cfRule type="cellIs" dxfId="92" priority="77" operator="lessThanOrEqual">
      <formula>28000</formula>
    </cfRule>
    <cfRule type="cellIs" dxfId="91" priority="78" operator="between">
      <formula>28000</formula>
      <formula>42000</formula>
    </cfRule>
  </conditionalFormatting>
  <conditionalFormatting sqref="N51">
    <cfRule type="cellIs" dxfId="90" priority="75" operator="lessThanOrEqual">
      <formula>14000</formula>
    </cfRule>
    <cfRule type="cellIs" dxfId="89" priority="76" operator="between">
      <formula>14000</formula>
      <formula>28000</formula>
    </cfRule>
  </conditionalFormatting>
  <conditionalFormatting sqref="N52">
    <cfRule type="cellIs" dxfId="88" priority="73" operator="lessThanOrEqual">
      <formula>0</formula>
    </cfRule>
    <cfRule type="cellIs" dxfId="87" priority="74" operator="between">
      <formula>0</formula>
      <formula>14000</formula>
    </cfRule>
  </conditionalFormatting>
  <conditionalFormatting sqref="N62">
    <cfRule type="cellIs" dxfId="86" priority="11" operator="lessThanOrEqual">
      <formula>70000</formula>
    </cfRule>
    <cfRule type="cellIs" dxfId="85" priority="12" operator="between">
      <formula>70000</formula>
      <formula>80000</formula>
    </cfRule>
  </conditionalFormatting>
  <conditionalFormatting sqref="N63">
    <cfRule type="cellIs" dxfId="84" priority="9" operator="lessThanOrEqual">
      <formula>56000</formula>
    </cfRule>
    <cfRule type="cellIs" dxfId="83" priority="10" operator="between">
      <formula>56000</formula>
      <formula>70000</formula>
    </cfRule>
  </conditionalFormatting>
  <conditionalFormatting sqref="N64">
    <cfRule type="cellIs" dxfId="82" priority="7" operator="lessThanOrEqual">
      <formula>42000</formula>
    </cfRule>
    <cfRule type="cellIs" dxfId="81" priority="8" operator="between">
      <formula>42000</formula>
      <formula>56000</formula>
    </cfRule>
  </conditionalFormatting>
  <conditionalFormatting sqref="N65">
    <cfRule type="cellIs" dxfId="80" priority="5" operator="lessThanOrEqual">
      <formula>28000</formula>
    </cfRule>
    <cfRule type="cellIs" dxfId="79" priority="6" operator="between">
      <formula>28000</formula>
      <formula>42000</formula>
    </cfRule>
  </conditionalFormatting>
  <conditionalFormatting sqref="N66">
    <cfRule type="cellIs" dxfId="78" priority="3" operator="lessThanOrEqual">
      <formula>14000</formula>
    </cfRule>
    <cfRule type="cellIs" dxfId="77" priority="4" operator="between">
      <formula>14000</formula>
      <formula>28000</formula>
    </cfRule>
  </conditionalFormatting>
  <conditionalFormatting sqref="N67">
    <cfRule type="cellIs" dxfId="76" priority="1" operator="lessThanOrEqual">
      <formula>0</formula>
    </cfRule>
    <cfRule type="cellIs" dxfId="75" priority="2" operator="between">
      <formula>0</formula>
      <formula>14000</formula>
    </cfRule>
  </conditionalFormatting>
  <conditionalFormatting sqref="S10">
    <cfRule type="cellIs" dxfId="74" priority="71" operator="lessThanOrEqual">
      <formula>70000</formula>
    </cfRule>
    <cfRule type="cellIs" dxfId="73" priority="72" operator="between">
      <formula>70000</formula>
      <formula>80000</formula>
    </cfRule>
  </conditionalFormatting>
  <conditionalFormatting sqref="S11">
    <cfRule type="cellIs" dxfId="72" priority="69" operator="lessThanOrEqual">
      <formula>56000</formula>
    </cfRule>
    <cfRule type="cellIs" dxfId="71" priority="70" operator="between">
      <formula>56000</formula>
      <formula>70000</formula>
    </cfRule>
  </conditionalFormatting>
  <conditionalFormatting sqref="S12">
    <cfRule type="cellIs" dxfId="70" priority="67" operator="lessThanOrEqual">
      <formula>42000</formula>
    </cfRule>
    <cfRule type="cellIs" dxfId="69" priority="68" operator="between">
      <formula>42000</formula>
      <formula>56000</formula>
    </cfRule>
  </conditionalFormatting>
  <conditionalFormatting sqref="S13">
    <cfRule type="cellIs" dxfId="68" priority="65" operator="lessThanOrEqual">
      <formula>28000</formula>
    </cfRule>
    <cfRule type="cellIs" dxfId="67" priority="66" operator="between">
      <formula>28000</formula>
      <formula>42000</formula>
    </cfRule>
  </conditionalFormatting>
  <conditionalFormatting sqref="S14">
    <cfRule type="cellIs" dxfId="66" priority="63" operator="lessThanOrEqual">
      <formula>14000</formula>
    </cfRule>
    <cfRule type="cellIs" dxfId="65" priority="64" operator="between">
      <formula>14000</formula>
      <formula>28000</formula>
    </cfRule>
  </conditionalFormatting>
  <conditionalFormatting sqref="S15">
    <cfRule type="cellIs" dxfId="64" priority="61" operator="lessThanOrEqual">
      <formula>0</formula>
    </cfRule>
    <cfRule type="cellIs" dxfId="63" priority="62" operator="between">
      <formula>0</formula>
      <formula>14000</formula>
    </cfRule>
  </conditionalFormatting>
  <conditionalFormatting sqref="S22">
    <cfRule type="cellIs" dxfId="62" priority="59" operator="lessThanOrEqual">
      <formula>70000</formula>
    </cfRule>
    <cfRule type="cellIs" dxfId="61" priority="60" operator="between">
      <formula>70000</formula>
      <formula>80000</formula>
    </cfRule>
  </conditionalFormatting>
  <conditionalFormatting sqref="S23">
    <cfRule type="cellIs" dxfId="60" priority="57" operator="lessThanOrEqual">
      <formula>56000</formula>
    </cfRule>
    <cfRule type="cellIs" dxfId="59" priority="58" operator="between">
      <formula>56000</formula>
      <formula>70000</formula>
    </cfRule>
  </conditionalFormatting>
  <conditionalFormatting sqref="S24">
    <cfRule type="cellIs" dxfId="58" priority="55" operator="lessThanOrEqual">
      <formula>42000</formula>
    </cfRule>
    <cfRule type="cellIs" dxfId="57" priority="56" operator="between">
      <formula>42000</formula>
      <formula>56000</formula>
    </cfRule>
  </conditionalFormatting>
  <conditionalFormatting sqref="S25">
    <cfRule type="cellIs" dxfId="56" priority="53" operator="lessThanOrEqual">
      <formula>28000</formula>
    </cfRule>
    <cfRule type="cellIs" dxfId="55" priority="54" operator="between">
      <formula>28000</formula>
      <formula>42000</formula>
    </cfRule>
  </conditionalFormatting>
  <conditionalFormatting sqref="S26">
    <cfRule type="cellIs" dxfId="54" priority="51" operator="lessThanOrEqual">
      <formula>14000</formula>
    </cfRule>
    <cfRule type="cellIs" dxfId="53" priority="52" operator="between">
      <formula>14000</formula>
      <formula>28000</formula>
    </cfRule>
  </conditionalFormatting>
  <conditionalFormatting sqref="S27">
    <cfRule type="cellIs" dxfId="52" priority="49" operator="lessThanOrEqual">
      <formula>0</formula>
    </cfRule>
    <cfRule type="cellIs" dxfId="51" priority="50" operator="between">
      <formula>0</formula>
      <formula>14000</formula>
    </cfRule>
  </conditionalFormatting>
  <conditionalFormatting sqref="S35">
    <cfRule type="cellIs" dxfId="50" priority="47" operator="lessThanOrEqual">
      <formula>70000</formula>
    </cfRule>
    <cfRule type="cellIs" dxfId="49" priority="48" operator="between">
      <formula>70000</formula>
      <formula>80000</formula>
    </cfRule>
  </conditionalFormatting>
  <conditionalFormatting sqref="S36">
    <cfRule type="cellIs" dxfId="48" priority="45" operator="lessThanOrEqual">
      <formula>56000</formula>
    </cfRule>
    <cfRule type="cellIs" dxfId="47" priority="46" operator="between">
      <formula>56000</formula>
      <formula>70000</formula>
    </cfRule>
  </conditionalFormatting>
  <conditionalFormatting sqref="S37">
    <cfRule type="cellIs" dxfId="46" priority="43" operator="lessThanOrEqual">
      <formula>42000</formula>
    </cfRule>
    <cfRule type="cellIs" dxfId="45" priority="44" operator="between">
      <formula>42000</formula>
      <formula>56000</formula>
    </cfRule>
  </conditionalFormatting>
  <conditionalFormatting sqref="S38">
    <cfRule type="cellIs" dxfId="44" priority="41" operator="lessThanOrEqual">
      <formula>28000</formula>
    </cfRule>
    <cfRule type="cellIs" dxfId="43" priority="42" operator="between">
      <formula>28000</formula>
      <formula>42000</formula>
    </cfRule>
  </conditionalFormatting>
  <conditionalFormatting sqref="S39">
    <cfRule type="cellIs" dxfId="42" priority="39" operator="lessThanOrEqual">
      <formula>14000</formula>
    </cfRule>
    <cfRule type="cellIs" dxfId="41" priority="40" operator="between">
      <formula>14000</formula>
      <formula>28000</formula>
    </cfRule>
  </conditionalFormatting>
  <conditionalFormatting sqref="S40">
    <cfRule type="cellIs" dxfId="40" priority="37" operator="lessThanOrEqual">
      <formula>0</formula>
    </cfRule>
    <cfRule type="cellIs" dxfId="39" priority="38" operator="between">
      <formula>0</formula>
      <formula>14000</formula>
    </cfRule>
  </conditionalFormatting>
  <conditionalFormatting sqref="S47">
    <cfRule type="cellIs" dxfId="38" priority="35" operator="lessThanOrEqual">
      <formula>70000</formula>
    </cfRule>
    <cfRule type="cellIs" dxfId="37" priority="36" operator="between">
      <formula>70000</formula>
      <formula>80000</formula>
    </cfRule>
  </conditionalFormatting>
  <conditionalFormatting sqref="S48">
    <cfRule type="cellIs" dxfId="36" priority="33" operator="lessThanOrEqual">
      <formula>56000</formula>
    </cfRule>
    <cfRule type="cellIs" dxfId="35" priority="34" operator="between">
      <formula>56000</formula>
      <formula>70000</formula>
    </cfRule>
  </conditionalFormatting>
  <conditionalFormatting sqref="S49">
    <cfRule type="cellIs" dxfId="34" priority="31" operator="lessThanOrEqual">
      <formula>42000</formula>
    </cfRule>
    <cfRule type="cellIs" dxfId="33" priority="32" operator="between">
      <formula>42000</formula>
      <formula>56000</formula>
    </cfRule>
  </conditionalFormatting>
  <conditionalFormatting sqref="S50">
    <cfRule type="cellIs" dxfId="32" priority="29" operator="lessThanOrEqual">
      <formula>28000</formula>
    </cfRule>
    <cfRule type="cellIs" dxfId="31" priority="30" operator="between">
      <formula>28000</formula>
      <formula>42000</formula>
    </cfRule>
  </conditionalFormatting>
  <conditionalFormatting sqref="S51">
    <cfRule type="cellIs" dxfId="30" priority="27" operator="lessThanOrEqual">
      <formula>14000</formula>
    </cfRule>
    <cfRule type="cellIs" dxfId="29" priority="28" operator="between">
      <formula>14000</formula>
      <formula>28000</formula>
    </cfRule>
  </conditionalFormatting>
  <conditionalFormatting sqref="S52">
    <cfRule type="cellIs" dxfId="28" priority="25" operator="lessThanOrEqual">
      <formula>0</formula>
    </cfRule>
    <cfRule type="cellIs" dxfId="27" priority="26" operator="between">
      <formula>0</formula>
      <formula>14000</formula>
    </cfRule>
  </conditionalFormatting>
  <pageMargins left="0.25" right="0.25" top="0.75" bottom="0.75" header="0.3" footer="0.3"/>
  <pageSetup paperSize="9" scale="46" orientation="landscape" r:id="rId1"/>
  <rowBreaks count="1" manualBreakCount="1">
    <brk id="57" max="16383" man="1"/>
  </rowBreaks>
  <drawing r:id="rId2"/>
  <extLst xmlns:xr="http://schemas.microsoft.com/office/spreadsheetml/2014/revision">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'bdd pneu'!$A$23:$A$34</xm:f>
          </x14:formula1>
          <xm:sqref>C6</xm:sqref>
        </x14:dataValidation>
      </x14:dataValidations>
    </ext>
  </extLst>
</worksheet>
</file>

<file path=xl/worksheets/sheet11.xml><?xml version="1.0" encoding="utf-8"?>
<worksheet xmlns="http://schemas.openxmlformats.org/spreadsheetml/2006/main" xmlns:r="http://schemas.openxmlformats.org/officeDocument/2006/relationships">
  <sheetPr>
    <tabColor theme="4" tint="-0.249977111117893"/>
  </sheetPr>
  <dimension ref="A1:W46"/>
  <sheetViews>
    <sheetView zoomScale="60" zoomScaleNormal="60" workbookViewId="0">
      <pane xSplit="4" ySplit="5" topLeftCell="E26" activePane="bottomRight" state="frozen"/>
      <selection pane="topRight" activeCell="E1" sqref="E1"/>
      <selection pane="bottomLeft" activeCell="A2" sqref="A2"/>
      <selection pane="bottomRight" activeCell="Z40" sqref="Z40"/>
    </sheetView>
  </sheetViews>
  <sheetFormatPr baseColWidth="10" defaultRowHeight="12.75"/>
  <cols>
    <col min="1" max="1" width="15.5703125" style="89" bestFit="1" customWidth="1"/>
    <col min="2" max="2" width="25.140625" style="89" bestFit="1" customWidth="1"/>
    <col min="3" max="3" width="19.28515625" style="89" bestFit="1" customWidth="1"/>
    <col min="4" max="4" width="16" style="89" bestFit="1" customWidth="1"/>
    <col min="5" max="6" width="16.5703125" style="89" customWidth="1"/>
    <col min="7" max="7" width="39" style="89" bestFit="1" customWidth="1"/>
    <col min="8" max="10" width="7.42578125" style="135" customWidth="1"/>
    <col min="11" max="11" width="16.7109375" style="136" customWidth="1"/>
    <col min="12" max="12" width="11.28515625" style="89" customWidth="1"/>
    <col min="13" max="13" width="9.5703125" style="89" customWidth="1"/>
    <col min="14" max="14" width="12" style="89" customWidth="1"/>
    <col min="15" max="15" width="13.140625" style="89" customWidth="1"/>
    <col min="16" max="16" width="11.7109375" style="89" customWidth="1"/>
    <col min="17" max="17" width="18.28515625" style="89" bestFit="1" customWidth="1"/>
    <col min="18" max="18" width="9.5703125" style="89" customWidth="1"/>
    <col min="19" max="19" width="8.28515625" style="89" customWidth="1"/>
    <col min="20" max="20" width="11.5703125" style="89" customWidth="1"/>
    <col min="21" max="23" width="1.140625" style="89" customWidth="1"/>
    <col min="24" max="16384" width="11.42578125" style="89"/>
  </cols>
  <sheetData>
    <row r="1" spans="1:23" customFormat="1" ht="15">
      <c r="A1" s="281"/>
      <c r="B1" s="282"/>
      <c r="C1" s="287" t="s">
        <v>1908</v>
      </c>
      <c r="D1" s="288"/>
      <c r="E1" s="288"/>
      <c r="F1" s="288"/>
      <c r="G1" s="288"/>
      <c r="H1" s="288"/>
      <c r="I1" s="288"/>
      <c r="J1" s="288"/>
      <c r="K1" s="288"/>
      <c r="L1" s="288"/>
      <c r="M1" s="288"/>
      <c r="N1" s="288"/>
      <c r="O1" s="289"/>
      <c r="P1" s="293" t="s">
        <v>1952</v>
      </c>
      <c r="Q1" s="293"/>
      <c r="R1" s="293"/>
      <c r="S1" s="293"/>
      <c r="T1" s="293"/>
    </row>
    <row r="2" spans="1:23" customFormat="1" ht="15.75">
      <c r="A2" s="283"/>
      <c r="B2" s="284"/>
      <c r="C2" s="290"/>
      <c r="D2" s="291"/>
      <c r="E2" s="291"/>
      <c r="F2" s="291"/>
      <c r="G2" s="291"/>
      <c r="H2" s="291"/>
      <c r="I2" s="291"/>
      <c r="J2" s="291"/>
      <c r="K2" s="291"/>
      <c r="L2" s="291"/>
      <c r="M2" s="291"/>
      <c r="N2" s="291"/>
      <c r="O2" s="292"/>
      <c r="P2" s="293" t="s">
        <v>1910</v>
      </c>
      <c r="Q2" s="293"/>
      <c r="R2" s="293"/>
      <c r="S2" s="293"/>
      <c r="T2" s="293"/>
      <c r="U2" s="294"/>
      <c r="V2" s="294"/>
      <c r="W2" s="294"/>
    </row>
    <row r="3" spans="1:23" customFormat="1" ht="15.75">
      <c r="A3" s="283"/>
      <c r="B3" s="284"/>
      <c r="C3" s="287" t="s">
        <v>1953</v>
      </c>
      <c r="D3" s="288"/>
      <c r="E3" s="288"/>
      <c r="F3" s="288"/>
      <c r="G3" s="288"/>
      <c r="H3" s="288"/>
      <c r="I3" s="288"/>
      <c r="J3" s="288"/>
      <c r="K3" s="288"/>
      <c r="L3" s="288"/>
      <c r="M3" s="288"/>
      <c r="N3" s="288"/>
      <c r="O3" s="289"/>
      <c r="P3" s="293" t="s">
        <v>1911</v>
      </c>
      <c r="Q3" s="293"/>
      <c r="R3" s="293"/>
      <c r="S3" s="293"/>
      <c r="T3" s="293"/>
      <c r="U3" s="294"/>
      <c r="V3" s="294"/>
      <c r="W3" s="294"/>
    </row>
    <row r="4" spans="1:23" customFormat="1" ht="15.75">
      <c r="A4" s="285"/>
      <c r="B4" s="286"/>
      <c r="C4" s="290"/>
      <c r="D4" s="291"/>
      <c r="E4" s="291"/>
      <c r="F4" s="291"/>
      <c r="G4" s="291"/>
      <c r="H4" s="291"/>
      <c r="I4" s="291"/>
      <c r="J4" s="291"/>
      <c r="K4" s="291"/>
      <c r="L4" s="291"/>
      <c r="M4" s="291"/>
      <c r="N4" s="291"/>
      <c r="O4" s="292"/>
      <c r="P4" s="293" t="s">
        <v>1912</v>
      </c>
      <c r="Q4" s="293"/>
      <c r="R4" s="293"/>
      <c r="S4" s="293"/>
      <c r="T4" s="293"/>
      <c r="U4" s="294"/>
      <c r="V4" s="294"/>
      <c r="W4" s="294"/>
    </row>
    <row r="5" spans="1:23" ht="82.5" customHeight="1" thickBot="1">
      <c r="A5" s="131" t="s">
        <v>1954</v>
      </c>
      <c r="B5" s="131" t="s">
        <v>288</v>
      </c>
      <c r="C5" s="131" t="s">
        <v>290</v>
      </c>
      <c r="D5" s="131" t="s">
        <v>291</v>
      </c>
      <c r="E5" s="132" t="s">
        <v>1955</v>
      </c>
      <c r="F5" s="132" t="s">
        <v>1956</v>
      </c>
      <c r="G5" s="132" t="s">
        <v>1957</v>
      </c>
      <c r="H5" s="132" t="s">
        <v>1958</v>
      </c>
      <c r="I5" s="132" t="s">
        <v>1959</v>
      </c>
      <c r="J5" s="132" t="s">
        <v>1960</v>
      </c>
      <c r="K5" s="132" t="s">
        <v>1961</v>
      </c>
      <c r="L5" s="132" t="s">
        <v>1962</v>
      </c>
      <c r="M5" s="132" t="s">
        <v>1963</v>
      </c>
      <c r="N5" s="132" t="s">
        <v>1964</v>
      </c>
      <c r="O5" s="132" t="s">
        <v>1965</v>
      </c>
      <c r="P5" s="132" t="s">
        <v>1966</v>
      </c>
      <c r="Q5" s="133" t="s">
        <v>1967</v>
      </c>
      <c r="R5" s="133" t="s">
        <v>1968</v>
      </c>
      <c r="S5" s="134" t="s">
        <v>1969</v>
      </c>
      <c r="T5" s="132" t="s">
        <v>1970</v>
      </c>
    </row>
    <row r="6" spans="1:23" s="131" customFormat="1" ht="31.5" customHeight="1" thickBot="1">
      <c r="A6" s="138">
        <v>7</v>
      </c>
      <c r="B6" s="139" t="s">
        <v>1971</v>
      </c>
      <c r="C6" s="139" t="s">
        <v>1972</v>
      </c>
      <c r="D6" s="138" t="s">
        <v>300</v>
      </c>
      <c r="E6" s="139"/>
      <c r="F6" s="139"/>
      <c r="G6" s="140"/>
      <c r="H6" s="141">
        <v>10000</v>
      </c>
      <c r="I6" s="141">
        <v>10000</v>
      </c>
      <c r="J6" s="141">
        <v>10000</v>
      </c>
      <c r="K6" s="142">
        <v>45201</v>
      </c>
      <c r="L6" s="143">
        <v>434200</v>
      </c>
      <c r="M6" s="143">
        <v>434200</v>
      </c>
      <c r="N6" s="143">
        <v>434200</v>
      </c>
      <c r="O6" s="140" t="s">
        <v>2055</v>
      </c>
      <c r="P6" s="138">
        <v>435900</v>
      </c>
      <c r="Q6" s="140" t="s">
        <v>2054</v>
      </c>
      <c r="R6" s="144">
        <f>Tableau16[[#This Row],[NBH vidange]]-(Tableau16[[#This Row],[Compteur Actuel]]-Tableau16[[#This Row],[Dérnière vidange]])</f>
        <v>8300</v>
      </c>
      <c r="S6" s="144">
        <f>Tableau16[[#This Row],[NBH Filtre   huile - gasoil]]-(Tableau16[[#This Row],[Compteur Actuel]]-Tableau16[[#This Row],[Dernier chgt Filte huile gasoil]])</f>
        <v>8300</v>
      </c>
      <c r="T6" s="144">
        <f>Tableau16[[#This Row],[NBH filtre à air]]-(Tableau16[[#This Row],[Compteur Actuel]]-Tableau16[[#This Row],[Dernier chgt filtre à air]])</f>
        <v>8300</v>
      </c>
    </row>
    <row r="7" spans="1:23" ht="31.5" customHeight="1" thickBot="1">
      <c r="A7" s="138">
        <v>401</v>
      </c>
      <c r="B7" s="139" t="s">
        <v>294</v>
      </c>
      <c r="C7" s="139" t="s">
        <v>1973</v>
      </c>
      <c r="D7" s="138" t="s">
        <v>418</v>
      </c>
      <c r="E7" s="139" t="s">
        <v>1974</v>
      </c>
      <c r="F7" s="139" t="s">
        <v>1975</v>
      </c>
      <c r="G7" s="140" t="s">
        <v>1976</v>
      </c>
      <c r="H7" s="141">
        <v>10000</v>
      </c>
      <c r="I7" s="141">
        <v>20000</v>
      </c>
      <c r="J7" s="141">
        <v>80000</v>
      </c>
      <c r="K7" s="142">
        <v>45200</v>
      </c>
      <c r="L7" s="143">
        <v>8802500</v>
      </c>
      <c r="M7" s="143">
        <v>802500</v>
      </c>
      <c r="N7" s="143">
        <v>802500</v>
      </c>
      <c r="O7" s="140"/>
      <c r="P7" s="138">
        <v>812200</v>
      </c>
      <c r="Q7" s="140" t="s">
        <v>2054</v>
      </c>
      <c r="R7" s="144">
        <f>Tableau16[[#This Row],[NBH vidange]]-(Tableau16[[#This Row],[Compteur Actuel]]-Tableau16[[#This Row],[Dérnière vidange]])</f>
        <v>8000300</v>
      </c>
      <c r="S7" s="144">
        <f>Tableau16[[#This Row],[NBH Filtre   huile - gasoil]]-(Tableau16[[#This Row],[Compteur Actuel]]-Tableau16[[#This Row],[Dernier chgt Filte huile gasoil]])</f>
        <v>10300</v>
      </c>
      <c r="T7" s="144">
        <f>Tableau16[[#This Row],[NBH filtre à air]]-(Tableau16[[#This Row],[Compteur Actuel]]-Tableau16[[#This Row],[Dernier chgt filtre à air]])</f>
        <v>70300</v>
      </c>
    </row>
    <row r="8" spans="1:23" ht="31.5" customHeight="1" thickBot="1">
      <c r="A8" s="138">
        <v>403</v>
      </c>
      <c r="B8" s="139" t="s">
        <v>294</v>
      </c>
      <c r="C8" s="139" t="s">
        <v>1977</v>
      </c>
      <c r="D8" s="138" t="s">
        <v>417</v>
      </c>
      <c r="E8" s="139">
        <v>81084050015</v>
      </c>
      <c r="F8" s="139" t="s">
        <v>1978</v>
      </c>
      <c r="G8" s="139" t="s">
        <v>1979</v>
      </c>
      <c r="H8" s="141">
        <v>10000</v>
      </c>
      <c r="I8" s="141">
        <v>20000</v>
      </c>
      <c r="J8" s="141">
        <v>80000</v>
      </c>
      <c r="K8" s="142">
        <v>45198</v>
      </c>
      <c r="L8" s="143">
        <v>912600</v>
      </c>
      <c r="M8" s="143">
        <v>912600</v>
      </c>
      <c r="N8" s="143">
        <v>912600</v>
      </c>
      <c r="O8" s="140"/>
      <c r="P8" s="138">
        <v>915311</v>
      </c>
      <c r="Q8" s="140" t="s">
        <v>2054</v>
      </c>
      <c r="R8" s="144">
        <f>Tableau16[[#This Row],[NBH vidange]]-(Tableau16[[#This Row],[Compteur Actuel]]-Tableau16[[#This Row],[Dérnière vidange]])</f>
        <v>7289</v>
      </c>
      <c r="S8" s="144">
        <f>Tableau16[[#This Row],[NBH Filtre   huile - gasoil]]-(Tableau16[[#This Row],[Compteur Actuel]]-Tableau16[[#This Row],[Dernier chgt Filte huile gasoil]])</f>
        <v>17289</v>
      </c>
      <c r="T8" s="144">
        <f>Tableau16[[#This Row],[NBH filtre à air]]-(Tableau16[[#This Row],[Compteur Actuel]]-Tableau16[[#This Row],[Dernier chgt filtre à air]])</f>
        <v>77289</v>
      </c>
    </row>
    <row r="9" spans="1:23" ht="31.5" customHeight="1" thickBot="1">
      <c r="A9" s="138">
        <v>404</v>
      </c>
      <c r="B9" s="139" t="s">
        <v>1980</v>
      </c>
      <c r="C9" s="139" t="s">
        <v>444</v>
      </c>
      <c r="D9" s="138" t="s">
        <v>408</v>
      </c>
      <c r="E9" s="139" t="s">
        <v>1981</v>
      </c>
      <c r="F9" s="139" t="s">
        <v>1982</v>
      </c>
      <c r="G9" s="139" t="s">
        <v>1983</v>
      </c>
      <c r="H9" s="141">
        <v>10000</v>
      </c>
      <c r="I9" s="141">
        <v>20000</v>
      </c>
      <c r="J9" s="141">
        <v>80000</v>
      </c>
      <c r="K9" s="143" t="s">
        <v>2053</v>
      </c>
      <c r="L9" s="143"/>
      <c r="M9" s="143"/>
      <c r="N9" s="143"/>
      <c r="O9" s="140"/>
      <c r="P9" s="138"/>
      <c r="Q9" s="140" t="s">
        <v>2054</v>
      </c>
      <c r="R9" s="144">
        <f>Tableau16[[#This Row],[NBH vidange]]-(Tableau16[[#This Row],[Compteur Actuel]]-Tableau16[[#This Row],[Dérnière vidange]])</f>
        <v>10000</v>
      </c>
      <c r="S9" s="144">
        <f>Tableau16[[#This Row],[NBH Filtre   huile - gasoil]]-(Tableau16[[#This Row],[Compteur Actuel]]-Tableau16[[#This Row],[Dernier chgt Filte huile gasoil]])</f>
        <v>20000</v>
      </c>
      <c r="T9" s="144">
        <f>Tableau16[[#This Row],[NBH filtre à air]]-(Tableau16[[#This Row],[Compteur Actuel]]-Tableau16[[#This Row],[Dernier chgt filtre à air]])</f>
        <v>80000</v>
      </c>
    </row>
    <row r="10" spans="1:23" ht="31.5" customHeight="1" thickBot="1">
      <c r="A10" s="138">
        <v>405</v>
      </c>
      <c r="B10" s="139" t="s">
        <v>294</v>
      </c>
      <c r="C10" s="139" t="s">
        <v>1973</v>
      </c>
      <c r="D10" s="138" t="s">
        <v>1985</v>
      </c>
      <c r="E10" s="139" t="s">
        <v>1974</v>
      </c>
      <c r="F10" s="139" t="s">
        <v>1975</v>
      </c>
      <c r="G10" s="139" t="s">
        <v>1986</v>
      </c>
      <c r="H10" s="141">
        <v>10000</v>
      </c>
      <c r="I10" s="141">
        <v>20000</v>
      </c>
      <c r="J10" s="141">
        <v>80000</v>
      </c>
      <c r="K10" s="143" t="s">
        <v>1984</v>
      </c>
      <c r="L10" s="143">
        <v>420700</v>
      </c>
      <c r="M10" s="143">
        <v>420700</v>
      </c>
      <c r="N10" s="143">
        <v>420700</v>
      </c>
      <c r="O10" s="140"/>
      <c r="P10" s="138">
        <v>425802</v>
      </c>
      <c r="Q10" s="140" t="s">
        <v>2054</v>
      </c>
      <c r="R10" s="144">
        <f>Tableau16[[#This Row],[NBH vidange]]-(Tableau16[[#This Row],[Compteur Actuel]]-Tableau16[[#This Row],[Dérnière vidange]])</f>
        <v>4898</v>
      </c>
      <c r="S10" s="144">
        <f>Tableau16[[#This Row],[NBH Filtre   huile - gasoil]]-(Tableau16[[#This Row],[Compteur Actuel]]-Tableau16[[#This Row],[Dernier chgt Filte huile gasoil]])</f>
        <v>14898</v>
      </c>
      <c r="T10" s="144">
        <f>Tableau16[[#This Row],[NBH filtre à air]]-(Tableau16[[#This Row],[Compteur Actuel]]-Tableau16[[#This Row],[Dernier chgt filtre à air]])</f>
        <v>74898</v>
      </c>
    </row>
    <row r="11" spans="1:23" ht="31.5" customHeight="1" thickBot="1">
      <c r="A11" s="138">
        <v>406</v>
      </c>
      <c r="B11" s="139" t="s">
        <v>1980</v>
      </c>
      <c r="C11" s="139" t="s">
        <v>444</v>
      </c>
      <c r="D11" s="138" t="s">
        <v>1987</v>
      </c>
      <c r="E11" s="139" t="s">
        <v>1981</v>
      </c>
      <c r="F11" s="139" t="s">
        <v>1982</v>
      </c>
      <c r="G11" s="139" t="s">
        <v>1983</v>
      </c>
      <c r="H11" s="141">
        <v>10000</v>
      </c>
      <c r="I11" s="141">
        <v>20000</v>
      </c>
      <c r="J11" s="141">
        <v>80000</v>
      </c>
      <c r="K11" s="145">
        <v>45196</v>
      </c>
      <c r="L11" s="143">
        <v>812544</v>
      </c>
      <c r="M11" s="143">
        <v>812544</v>
      </c>
      <c r="N11" s="143">
        <v>812544</v>
      </c>
      <c r="O11" s="140"/>
      <c r="P11" s="138">
        <v>815400</v>
      </c>
      <c r="Q11" s="140" t="s">
        <v>2054</v>
      </c>
      <c r="R11" s="144">
        <f>Tableau16[[#This Row],[NBH vidange]]-(Tableau16[[#This Row],[Compteur Actuel]]-Tableau16[[#This Row],[Dérnière vidange]])</f>
        <v>7144</v>
      </c>
      <c r="S11" s="144">
        <f>Tableau16[[#This Row],[NBH Filtre   huile - gasoil]]-(Tableau16[[#This Row],[Compteur Actuel]]-Tableau16[[#This Row],[Dernier chgt Filte huile gasoil]])</f>
        <v>17144</v>
      </c>
      <c r="T11" s="144">
        <f>Tableau16[[#This Row],[NBH filtre à air]]-(Tableau16[[#This Row],[Compteur Actuel]]-Tableau16[[#This Row],[Dernier chgt filtre à air]])</f>
        <v>77144</v>
      </c>
    </row>
    <row r="12" spans="1:23" ht="31.5" customHeight="1" thickBot="1">
      <c r="A12" s="138">
        <v>407</v>
      </c>
      <c r="B12" s="139" t="s">
        <v>1980</v>
      </c>
      <c r="C12" s="139" t="s">
        <v>443</v>
      </c>
      <c r="D12" s="138" t="s">
        <v>903</v>
      </c>
      <c r="E12" s="140" t="s">
        <v>1988</v>
      </c>
      <c r="F12" s="139" t="s">
        <v>1989</v>
      </c>
      <c r="G12" s="140" t="s">
        <v>1990</v>
      </c>
      <c r="H12" s="141">
        <v>20000</v>
      </c>
      <c r="I12" s="141">
        <v>20000</v>
      </c>
      <c r="J12" s="141">
        <v>80000</v>
      </c>
      <c r="K12" s="142">
        <v>45194</v>
      </c>
      <c r="L12" s="143">
        <v>86100</v>
      </c>
      <c r="M12" s="143">
        <v>86100</v>
      </c>
      <c r="N12" s="143">
        <v>86100</v>
      </c>
      <c r="O12" s="140"/>
      <c r="P12" s="138">
        <v>89700</v>
      </c>
      <c r="Q12" s="140"/>
      <c r="R12" s="144">
        <f>Tableau16[[#This Row],[NBH vidange]]-(Tableau16[[#This Row],[Compteur Actuel]]-Tableau16[[#This Row],[Dérnière vidange]])</f>
        <v>16400</v>
      </c>
      <c r="S12" s="144">
        <f>Tableau16[[#This Row],[NBH Filtre   huile - gasoil]]-(Tableau16[[#This Row],[Compteur Actuel]]-Tableau16[[#This Row],[Dernier chgt Filte huile gasoil]])</f>
        <v>16400</v>
      </c>
      <c r="T12" s="144">
        <f>Tableau16[[#This Row],[NBH filtre à air]]-(Tableau16[[#This Row],[Compteur Actuel]]-Tableau16[[#This Row],[Dernier chgt filtre à air]])</f>
        <v>76400</v>
      </c>
    </row>
    <row r="13" spans="1:23" ht="31.5" customHeight="1" thickBot="1">
      <c r="A13" s="138">
        <v>408</v>
      </c>
      <c r="B13" s="139" t="s">
        <v>294</v>
      </c>
      <c r="C13" s="139" t="s">
        <v>1991</v>
      </c>
      <c r="D13" s="138" t="s">
        <v>412</v>
      </c>
      <c r="E13" s="139" t="s">
        <v>1992</v>
      </c>
      <c r="F13" s="139" t="s">
        <v>1993</v>
      </c>
      <c r="G13" s="139" t="s">
        <v>1994</v>
      </c>
      <c r="H13" s="141">
        <v>20000</v>
      </c>
      <c r="I13" s="141">
        <v>20000</v>
      </c>
      <c r="J13" s="141">
        <v>80000</v>
      </c>
      <c r="K13" s="142">
        <v>45204</v>
      </c>
      <c r="L13" s="143">
        <v>515400</v>
      </c>
      <c r="M13" s="143">
        <v>515400</v>
      </c>
      <c r="N13" s="143">
        <v>515400</v>
      </c>
      <c r="O13" s="140"/>
      <c r="P13" s="138">
        <v>521111</v>
      </c>
      <c r="Q13" s="140"/>
      <c r="R13" s="144">
        <f>Tableau16[[#This Row],[NBH vidange]]-(Tableau16[[#This Row],[Compteur Actuel]]-Tableau16[[#This Row],[Dérnière vidange]])</f>
        <v>14289</v>
      </c>
      <c r="S13" s="144">
        <f>Tableau16[[#This Row],[NBH Filtre   huile - gasoil]]-(Tableau16[[#This Row],[Compteur Actuel]]-Tableau16[[#This Row],[Dernier chgt Filte huile gasoil]])</f>
        <v>14289</v>
      </c>
      <c r="T13" s="144">
        <f>Tableau16[[#This Row],[NBH filtre à air]]-(Tableau16[[#This Row],[Compteur Actuel]]-Tableau16[[#This Row],[Dernier chgt filtre à air]])</f>
        <v>74289</v>
      </c>
    </row>
    <row r="14" spans="1:23" ht="31.5" customHeight="1" thickBot="1">
      <c r="A14" s="138">
        <v>409</v>
      </c>
      <c r="B14" s="139" t="s">
        <v>294</v>
      </c>
      <c r="C14" s="139" t="s">
        <v>1991</v>
      </c>
      <c r="D14" s="138" t="s">
        <v>1995</v>
      </c>
      <c r="E14" s="139" t="s">
        <v>1992</v>
      </c>
      <c r="F14" s="139" t="s">
        <v>1993</v>
      </c>
      <c r="G14" s="139" t="s">
        <v>1994</v>
      </c>
      <c r="H14" s="141">
        <v>20000</v>
      </c>
      <c r="I14" s="141">
        <v>20000</v>
      </c>
      <c r="J14" s="141">
        <v>80000</v>
      </c>
      <c r="K14" s="142">
        <v>45210</v>
      </c>
      <c r="L14" s="143">
        <v>872400</v>
      </c>
      <c r="M14" s="143">
        <v>872400</v>
      </c>
      <c r="N14" s="143">
        <v>872400</v>
      </c>
      <c r="O14" s="140"/>
      <c r="P14" s="138">
        <v>878100</v>
      </c>
      <c r="Q14" s="140"/>
      <c r="R14" s="144">
        <f>Tableau16[[#This Row],[NBH vidange]]-(Tableau16[[#This Row],[Compteur Actuel]]-Tableau16[[#This Row],[Dérnière vidange]])</f>
        <v>14300</v>
      </c>
      <c r="S14" s="144">
        <f>Tableau16[[#This Row],[NBH Filtre   huile - gasoil]]-(Tableau16[[#This Row],[Compteur Actuel]]-Tableau16[[#This Row],[Dernier chgt Filte huile gasoil]])</f>
        <v>14300</v>
      </c>
      <c r="T14" s="144">
        <f>Tableau16[[#This Row],[NBH filtre à air]]-(Tableau16[[#This Row],[Compteur Actuel]]-Tableau16[[#This Row],[Dernier chgt filtre à air]])</f>
        <v>74300</v>
      </c>
    </row>
    <row r="15" spans="1:23" ht="49.5" customHeight="1" thickBot="1">
      <c r="A15" s="138">
        <v>410</v>
      </c>
      <c r="B15" s="139" t="s">
        <v>1980</v>
      </c>
      <c r="C15" s="139" t="s">
        <v>443</v>
      </c>
      <c r="D15" s="138" t="s">
        <v>1996</v>
      </c>
      <c r="E15" s="140" t="s">
        <v>1988</v>
      </c>
      <c r="F15" s="139" t="s">
        <v>1997</v>
      </c>
      <c r="G15" s="140" t="s">
        <v>1998</v>
      </c>
      <c r="H15" s="141">
        <v>20000</v>
      </c>
      <c r="I15" s="141">
        <v>20000</v>
      </c>
      <c r="J15" s="141">
        <v>80000</v>
      </c>
      <c r="K15" s="142">
        <v>45250</v>
      </c>
      <c r="L15" s="143">
        <v>893200</v>
      </c>
      <c r="M15" s="143">
        <v>893200</v>
      </c>
      <c r="N15" s="143">
        <v>893200</v>
      </c>
      <c r="O15" s="140"/>
      <c r="P15" s="138">
        <v>896300</v>
      </c>
      <c r="Q15" s="140"/>
      <c r="R15" s="144">
        <f>Tableau16[[#This Row],[NBH vidange]]-(Tableau16[[#This Row],[Compteur Actuel]]-Tableau16[[#This Row],[Dérnière vidange]])</f>
        <v>16900</v>
      </c>
      <c r="S15" s="144">
        <f>Tableau16[[#This Row],[NBH Filtre   huile - gasoil]]-(Tableau16[[#This Row],[Compteur Actuel]]-Tableau16[[#This Row],[Dernier chgt Filte huile gasoil]])</f>
        <v>16900</v>
      </c>
      <c r="T15" s="144">
        <f>Tableau16[[#This Row],[NBH filtre à air]]-(Tableau16[[#This Row],[Compteur Actuel]]-Tableau16[[#This Row],[Dernier chgt filtre à air]])</f>
        <v>76900</v>
      </c>
    </row>
    <row r="16" spans="1:23" ht="29.25" thickBot="1">
      <c r="A16" s="138">
        <v>411</v>
      </c>
      <c r="B16" s="139" t="s">
        <v>294</v>
      </c>
      <c r="C16" s="139" t="s">
        <v>1999</v>
      </c>
      <c r="D16" s="138" t="s">
        <v>416</v>
      </c>
      <c r="E16" s="139" t="s">
        <v>2000</v>
      </c>
      <c r="F16" s="139" t="s">
        <v>2001</v>
      </c>
      <c r="G16" s="140" t="s">
        <v>2002</v>
      </c>
      <c r="H16" s="141">
        <v>20000</v>
      </c>
      <c r="I16" s="141">
        <v>20000</v>
      </c>
      <c r="J16" s="141">
        <v>80000</v>
      </c>
      <c r="K16" s="142">
        <v>45250</v>
      </c>
      <c r="L16" s="143">
        <v>929200</v>
      </c>
      <c r="M16" s="143">
        <v>929200</v>
      </c>
      <c r="N16" s="143">
        <v>929200</v>
      </c>
      <c r="O16" s="140"/>
      <c r="P16" s="138">
        <v>929100</v>
      </c>
      <c r="Q16" s="140"/>
      <c r="R16" s="144">
        <f>Tableau16[[#This Row],[NBH vidange]]-(Tableau16[[#This Row],[Compteur Actuel]]-Tableau16[[#This Row],[Dérnière vidange]])</f>
        <v>20100</v>
      </c>
      <c r="S16" s="144">
        <f>Tableau16[[#This Row],[NBH Filtre   huile - gasoil]]-(Tableau16[[#This Row],[Compteur Actuel]]-Tableau16[[#This Row],[Dernier chgt Filte huile gasoil]])</f>
        <v>20100</v>
      </c>
      <c r="T16" s="144">
        <f>Tableau16[[#This Row],[NBH filtre à air]]-(Tableau16[[#This Row],[Compteur Actuel]]-Tableau16[[#This Row],[Dernier chgt filtre à air]])</f>
        <v>80100</v>
      </c>
    </row>
    <row r="17" spans="1:20" ht="43.5" thickBot="1">
      <c r="A17" s="138">
        <v>413</v>
      </c>
      <c r="B17" s="139" t="s">
        <v>2003</v>
      </c>
      <c r="C17" s="139" t="s">
        <v>207</v>
      </c>
      <c r="D17" s="139" t="s">
        <v>2004</v>
      </c>
      <c r="E17" s="139" t="s">
        <v>2005</v>
      </c>
      <c r="F17" s="139" t="s">
        <v>2006</v>
      </c>
      <c r="G17" s="140" t="s">
        <v>2007</v>
      </c>
      <c r="H17" s="141">
        <v>500</v>
      </c>
      <c r="I17" s="141">
        <v>500</v>
      </c>
      <c r="J17" s="138">
        <v>1000</v>
      </c>
      <c r="K17" s="142">
        <v>45257</v>
      </c>
      <c r="L17" s="143">
        <v>4935</v>
      </c>
      <c r="M17" s="143">
        <v>4935</v>
      </c>
      <c r="N17" s="143">
        <v>4935</v>
      </c>
      <c r="O17" s="140"/>
      <c r="P17" s="138">
        <v>3049</v>
      </c>
      <c r="Q17" s="140"/>
      <c r="R17" s="144">
        <f>Tableau16[[#This Row],[NBH vidange]]-(Tableau16[[#This Row],[Compteur Actuel]]-Tableau16[[#This Row],[Dérnière vidange]])</f>
        <v>2386</v>
      </c>
      <c r="S17" s="144">
        <f>Tableau16[[#This Row],[NBH Filtre   huile - gasoil]]-(Tableau16[[#This Row],[Compteur Actuel]]-Tableau16[[#This Row],[Dernier chgt Filte huile gasoil]])</f>
        <v>2386</v>
      </c>
      <c r="T17" s="144">
        <f>Tableau16[[#This Row],[NBH filtre à air]]-(Tableau16[[#This Row],[Compteur Actuel]]-Tableau16[[#This Row],[Dernier chgt filtre à air]])</f>
        <v>2886</v>
      </c>
    </row>
    <row r="18" spans="1:20" ht="31.5" customHeight="1" thickBot="1">
      <c r="A18" s="138">
        <v>414</v>
      </c>
      <c r="B18" s="139" t="s">
        <v>420</v>
      </c>
      <c r="C18" s="139" t="s">
        <v>2008</v>
      </c>
      <c r="D18" s="146" t="s">
        <v>2004</v>
      </c>
      <c r="E18" s="139" t="s">
        <v>2009</v>
      </c>
      <c r="F18" s="139" t="s">
        <v>2010</v>
      </c>
      <c r="G18" s="140" t="s">
        <v>2011</v>
      </c>
      <c r="H18" s="141">
        <v>500</v>
      </c>
      <c r="I18" s="141">
        <v>500</v>
      </c>
      <c r="J18" s="138">
        <v>1000</v>
      </c>
      <c r="K18" s="142">
        <v>45228</v>
      </c>
      <c r="L18" s="143">
        <v>4160</v>
      </c>
      <c r="M18" s="143">
        <v>4160</v>
      </c>
      <c r="N18" s="143">
        <v>4160</v>
      </c>
      <c r="O18" s="140"/>
      <c r="P18" s="138">
        <v>4198</v>
      </c>
      <c r="Q18" s="140"/>
      <c r="R18" s="144">
        <f>Tableau16[[#This Row],[NBH vidange]]-(Tableau16[[#This Row],[Compteur Actuel]]-Tableau16[[#This Row],[Dérnière vidange]])</f>
        <v>462</v>
      </c>
      <c r="S18" s="144">
        <f>Tableau16[[#This Row],[NBH Filtre   huile - gasoil]]-(Tableau16[[#This Row],[Compteur Actuel]]-Tableau16[[#This Row],[Dernier chgt Filte huile gasoil]])</f>
        <v>462</v>
      </c>
      <c r="T18" s="144">
        <f>Tableau16[[#This Row],[NBH filtre à air]]-(Tableau16[[#This Row],[Compteur Actuel]]-Tableau16[[#This Row],[Dernier chgt filtre à air]])</f>
        <v>962</v>
      </c>
    </row>
    <row r="19" spans="1:20" ht="31.5" customHeight="1" thickBot="1">
      <c r="A19" s="138">
        <v>417</v>
      </c>
      <c r="B19" s="139" t="s">
        <v>1971</v>
      </c>
      <c r="C19" s="139" t="s">
        <v>1972</v>
      </c>
      <c r="D19" s="138" t="s">
        <v>297</v>
      </c>
      <c r="E19" s="139" t="s">
        <v>2012</v>
      </c>
      <c r="F19" s="139" t="s">
        <v>2013</v>
      </c>
      <c r="G19" s="139" t="s">
        <v>2014</v>
      </c>
      <c r="H19" s="141">
        <v>10000</v>
      </c>
      <c r="I19" s="141">
        <v>10000</v>
      </c>
      <c r="J19" s="141">
        <v>10000</v>
      </c>
      <c r="K19" s="142">
        <v>45184</v>
      </c>
      <c r="L19" s="143">
        <v>275000</v>
      </c>
      <c r="M19" s="143">
        <v>275000</v>
      </c>
      <c r="N19" s="143">
        <v>275000</v>
      </c>
      <c r="O19" s="140"/>
      <c r="P19" s="138">
        <v>280300</v>
      </c>
      <c r="Q19" s="140"/>
      <c r="R19" s="144">
        <f>Tableau16[[#This Row],[NBH vidange]]-(Tableau16[[#This Row],[Compteur Actuel]]-Tableau16[[#This Row],[Dérnière vidange]])</f>
        <v>4700</v>
      </c>
      <c r="S19" s="144">
        <f>Tableau16[[#This Row],[NBH Filtre   huile - gasoil]]-(Tableau16[[#This Row],[Compteur Actuel]]-Tableau16[[#This Row],[Dernier chgt Filte huile gasoil]])</f>
        <v>4700</v>
      </c>
      <c r="T19" s="144">
        <f>Tableau16[[#This Row],[NBH filtre à air]]-(Tableau16[[#This Row],[Compteur Actuel]]-Tableau16[[#This Row],[Dernier chgt filtre à air]])</f>
        <v>4700</v>
      </c>
    </row>
    <row r="20" spans="1:20" ht="31.5" customHeight="1" thickBot="1">
      <c r="A20" s="138">
        <v>419</v>
      </c>
      <c r="B20" s="139" t="s">
        <v>1971</v>
      </c>
      <c r="C20" s="139" t="s">
        <v>2015</v>
      </c>
      <c r="D20" s="138" t="s">
        <v>445</v>
      </c>
      <c r="E20" s="139" t="s">
        <v>2016</v>
      </c>
      <c r="F20" s="139" t="s">
        <v>2017</v>
      </c>
      <c r="G20" s="139">
        <v>7701043620</v>
      </c>
      <c r="H20" s="141">
        <v>10000</v>
      </c>
      <c r="I20" s="141">
        <v>10000</v>
      </c>
      <c r="J20" s="141">
        <v>10000</v>
      </c>
      <c r="K20" s="142">
        <v>45259</v>
      </c>
      <c r="L20" s="143">
        <v>205000</v>
      </c>
      <c r="M20" s="143">
        <v>205000</v>
      </c>
      <c r="N20" s="143">
        <v>205000</v>
      </c>
      <c r="O20" s="140"/>
      <c r="P20" s="138">
        <v>209200</v>
      </c>
      <c r="Q20" s="140"/>
      <c r="R20" s="144">
        <f>Tableau16[[#This Row],[NBH vidange]]-(Tableau16[[#This Row],[Compteur Actuel]]-Tableau16[[#This Row],[Dérnière vidange]])</f>
        <v>5800</v>
      </c>
      <c r="S20" s="144">
        <f>Tableau16[[#This Row],[NBH Filtre   huile - gasoil]]-(Tableau16[[#This Row],[Compteur Actuel]]-Tableau16[[#This Row],[Dernier chgt Filte huile gasoil]])</f>
        <v>5800</v>
      </c>
      <c r="T20" s="144">
        <f>Tableau16[[#This Row],[NBH filtre à air]]-(Tableau16[[#This Row],[Compteur Actuel]]-Tableau16[[#This Row],[Dernier chgt filtre à air]])</f>
        <v>5800</v>
      </c>
    </row>
    <row r="21" spans="1:20" ht="31.5" customHeight="1" thickBot="1">
      <c r="A21" s="138">
        <v>422</v>
      </c>
      <c r="B21" s="139" t="s">
        <v>2018</v>
      </c>
      <c r="C21" s="139" t="s">
        <v>2019</v>
      </c>
      <c r="D21" s="138" t="s">
        <v>2004</v>
      </c>
      <c r="E21" s="139" t="s">
        <v>2020</v>
      </c>
      <c r="F21" s="139" t="s">
        <v>2021</v>
      </c>
      <c r="G21" s="139" t="s">
        <v>2022</v>
      </c>
      <c r="H21" s="141">
        <v>250</v>
      </c>
      <c r="I21" s="141">
        <v>500</v>
      </c>
      <c r="J21" s="141">
        <v>1000</v>
      </c>
      <c r="K21" s="143" t="s">
        <v>1984</v>
      </c>
      <c r="L21" s="143"/>
      <c r="M21" s="143"/>
      <c r="N21" s="143"/>
      <c r="O21" s="140"/>
      <c r="P21" s="138"/>
      <c r="Q21" s="140"/>
      <c r="R21" s="144">
        <f>Tableau16[[#This Row],[NBH vidange]]-(Tableau16[[#This Row],[Compteur Actuel]]-Tableau16[[#This Row],[Dérnière vidange]])</f>
        <v>250</v>
      </c>
      <c r="S21" s="144">
        <f>Tableau16[[#This Row],[NBH Filtre   huile - gasoil]]-(Tableau16[[#This Row],[Compteur Actuel]]-Tableau16[[#This Row],[Dernier chgt Filte huile gasoil]])</f>
        <v>500</v>
      </c>
      <c r="T21" s="144">
        <f>Tableau16[[#This Row],[NBH filtre à air]]-(Tableau16[[#This Row],[Compteur Actuel]]-Tableau16[[#This Row],[Dernier chgt filtre à air]])</f>
        <v>1000</v>
      </c>
    </row>
    <row r="22" spans="1:20" ht="31.5" customHeight="1" thickBot="1">
      <c r="A22" s="138">
        <v>426</v>
      </c>
      <c r="B22" s="139" t="s">
        <v>2018</v>
      </c>
      <c r="C22" s="139" t="s">
        <v>206</v>
      </c>
      <c r="D22" s="138" t="s">
        <v>2004</v>
      </c>
      <c r="E22" s="139" t="s">
        <v>2023</v>
      </c>
      <c r="F22" s="139" t="s">
        <v>2024</v>
      </c>
      <c r="G22" s="139" t="s">
        <v>2025</v>
      </c>
      <c r="H22" s="141">
        <v>250</v>
      </c>
      <c r="I22" s="141">
        <v>500</v>
      </c>
      <c r="J22" s="141">
        <v>1000</v>
      </c>
      <c r="K22" s="142">
        <v>45184</v>
      </c>
      <c r="L22" s="143">
        <v>12033</v>
      </c>
      <c r="M22" s="143">
        <v>12033</v>
      </c>
      <c r="N22" s="143">
        <v>11100</v>
      </c>
      <c r="O22" s="140" t="s">
        <v>2321</v>
      </c>
      <c r="P22" s="138">
        <v>12055</v>
      </c>
      <c r="Q22" s="140"/>
      <c r="R22" s="144">
        <f>Tableau16[[#This Row],[NBH vidange]]-(Tableau16[[#This Row],[Compteur Actuel]]-Tableau16[[#This Row],[Dérnière vidange]])</f>
        <v>228</v>
      </c>
      <c r="S22" s="144">
        <f>Tableau16[[#This Row],[NBH Filtre   huile - gasoil]]-(Tableau16[[#This Row],[Compteur Actuel]]-Tableau16[[#This Row],[Dernier chgt Filte huile gasoil]])</f>
        <v>478</v>
      </c>
      <c r="T22" s="144">
        <f>Tableau16[[#This Row],[NBH filtre à air]]-(Tableau16[[#This Row],[Compteur Actuel]]-Tableau16[[#This Row],[Dernier chgt filtre à air]])</f>
        <v>45</v>
      </c>
    </row>
    <row r="23" spans="1:20" ht="31.5" customHeight="1" thickBot="1">
      <c r="A23" s="138">
        <v>427</v>
      </c>
      <c r="B23" s="139" t="s">
        <v>2018</v>
      </c>
      <c r="C23" s="139" t="s">
        <v>2026</v>
      </c>
      <c r="D23" s="138" t="s">
        <v>2004</v>
      </c>
      <c r="E23" s="139" t="s">
        <v>2020</v>
      </c>
      <c r="F23" s="139" t="s">
        <v>2027</v>
      </c>
      <c r="G23" s="139" t="s">
        <v>2028</v>
      </c>
      <c r="H23" s="141">
        <v>500</v>
      </c>
      <c r="I23" s="141">
        <v>500</v>
      </c>
      <c r="J23" s="141">
        <v>1000</v>
      </c>
      <c r="K23" s="142">
        <v>45190</v>
      </c>
      <c r="L23" s="143">
        <v>28682</v>
      </c>
      <c r="M23" s="143">
        <v>28682</v>
      </c>
      <c r="N23" s="143">
        <v>28682</v>
      </c>
      <c r="O23" s="140"/>
      <c r="P23" s="138">
        <v>28780</v>
      </c>
      <c r="Q23" s="140"/>
      <c r="R23" s="144">
        <f>Tableau16[[#This Row],[NBH vidange]]-(Tableau16[[#This Row],[Compteur Actuel]]-Tableau16[[#This Row],[Dérnière vidange]])</f>
        <v>402</v>
      </c>
      <c r="S23" s="144">
        <f>Tableau16[[#This Row],[NBH Filtre   huile - gasoil]]-(Tableau16[[#This Row],[Compteur Actuel]]-Tableau16[[#This Row],[Dernier chgt Filte huile gasoil]])</f>
        <v>402</v>
      </c>
      <c r="T23" s="144">
        <f>Tableau16[[#This Row],[NBH filtre à air]]-(Tableau16[[#This Row],[Compteur Actuel]]-Tableau16[[#This Row],[Dernier chgt filtre à air]])</f>
        <v>902</v>
      </c>
    </row>
    <row r="24" spans="1:20" ht="31.5" customHeight="1" thickBot="1">
      <c r="A24" s="138">
        <v>428</v>
      </c>
      <c r="B24" s="139" t="s">
        <v>2018</v>
      </c>
      <c r="C24" s="139" t="s">
        <v>2026</v>
      </c>
      <c r="D24" s="138" t="s">
        <v>2004</v>
      </c>
      <c r="E24" s="139" t="s">
        <v>2020</v>
      </c>
      <c r="F24" s="139" t="s">
        <v>2027</v>
      </c>
      <c r="G24" s="139" t="s">
        <v>2028</v>
      </c>
      <c r="H24" s="141">
        <v>250</v>
      </c>
      <c r="I24" s="141">
        <v>500</v>
      </c>
      <c r="J24" s="141">
        <v>1000</v>
      </c>
      <c r="K24" s="142">
        <v>45179</v>
      </c>
      <c r="L24" s="143">
        <v>38120</v>
      </c>
      <c r="M24" s="143">
        <v>38120</v>
      </c>
      <c r="N24" s="143">
        <v>38120</v>
      </c>
      <c r="O24" s="140"/>
      <c r="P24" s="138">
        <v>38198</v>
      </c>
      <c r="Q24" s="140"/>
      <c r="R24" s="144">
        <f>Tableau16[[#This Row],[NBH vidange]]-(Tableau16[[#This Row],[Compteur Actuel]]-Tableau16[[#This Row],[Dérnière vidange]])</f>
        <v>172</v>
      </c>
      <c r="S24" s="144">
        <f>Tableau16[[#This Row],[NBH Filtre   huile - gasoil]]-(Tableau16[[#This Row],[Compteur Actuel]]-Tableau16[[#This Row],[Dernier chgt Filte huile gasoil]])</f>
        <v>422</v>
      </c>
      <c r="T24" s="144">
        <f>Tableau16[[#This Row],[NBH filtre à air]]-(Tableau16[[#This Row],[Compteur Actuel]]-Tableau16[[#This Row],[Dernier chgt filtre à air]])</f>
        <v>922</v>
      </c>
    </row>
    <row r="25" spans="1:20" ht="31.5" customHeight="1" thickBot="1">
      <c r="A25" s="138">
        <v>429</v>
      </c>
      <c r="B25" s="139" t="s">
        <v>2018</v>
      </c>
      <c r="C25" s="139" t="s">
        <v>2029</v>
      </c>
      <c r="D25" s="138" t="s">
        <v>2004</v>
      </c>
      <c r="E25" s="139" t="s">
        <v>2020</v>
      </c>
      <c r="F25" s="139" t="s">
        <v>2030</v>
      </c>
      <c r="G25" s="139" t="s">
        <v>2031</v>
      </c>
      <c r="H25" s="141">
        <v>250</v>
      </c>
      <c r="I25" s="141">
        <v>500</v>
      </c>
      <c r="J25" s="141">
        <v>1000</v>
      </c>
      <c r="K25" s="142">
        <v>45210</v>
      </c>
      <c r="L25" s="143">
        <v>5780</v>
      </c>
      <c r="M25" s="143">
        <v>5780</v>
      </c>
      <c r="N25" s="143">
        <v>5780</v>
      </c>
      <c r="O25" s="140" t="s">
        <v>2321</v>
      </c>
      <c r="P25" s="138">
        <v>5799</v>
      </c>
      <c r="Q25" s="140"/>
      <c r="R25" s="144">
        <f>Tableau16[[#This Row],[NBH vidange]]-(Tableau16[[#This Row],[Compteur Actuel]]-Tableau16[[#This Row],[Dérnière vidange]])</f>
        <v>231</v>
      </c>
      <c r="S25" s="144">
        <f>Tableau16[[#This Row],[NBH Filtre   huile - gasoil]]-(Tableau16[[#This Row],[Compteur Actuel]]-Tableau16[[#This Row],[Dernier chgt Filte huile gasoil]])</f>
        <v>481</v>
      </c>
      <c r="T25" s="144">
        <f>Tableau16[[#This Row],[NBH filtre à air]]-(Tableau16[[#This Row],[Compteur Actuel]]-Tableau16[[#This Row],[Dernier chgt filtre à air]])</f>
        <v>981</v>
      </c>
    </row>
    <row r="26" spans="1:20" ht="31.5" customHeight="1" thickBot="1">
      <c r="A26" s="138">
        <v>430</v>
      </c>
      <c r="B26" s="139" t="s">
        <v>2018</v>
      </c>
      <c r="C26" s="139" t="s">
        <v>2032</v>
      </c>
      <c r="D26" s="138" t="s">
        <v>2004</v>
      </c>
      <c r="E26" s="139" t="s">
        <v>2033</v>
      </c>
      <c r="F26" s="139" t="s">
        <v>2024</v>
      </c>
      <c r="G26" s="139" t="s">
        <v>2034</v>
      </c>
      <c r="H26" s="141">
        <v>500</v>
      </c>
      <c r="I26" s="141">
        <v>500</v>
      </c>
      <c r="J26" s="141">
        <v>1000</v>
      </c>
      <c r="K26" s="142">
        <v>45211</v>
      </c>
      <c r="L26" s="143">
        <v>25629</v>
      </c>
      <c r="M26" s="143">
        <v>25629</v>
      </c>
      <c r="N26" s="143">
        <v>25629</v>
      </c>
      <c r="O26" s="140"/>
      <c r="P26" s="138">
        <v>25671</v>
      </c>
      <c r="Q26" s="140"/>
      <c r="R26" s="144">
        <f>Tableau16[[#This Row],[NBH vidange]]-(Tableau16[[#This Row],[Compteur Actuel]]-Tableau16[[#This Row],[Dérnière vidange]])</f>
        <v>458</v>
      </c>
      <c r="S26" s="144">
        <f>Tableau16[[#This Row],[NBH Filtre   huile - gasoil]]-(Tableau16[[#This Row],[Compteur Actuel]]-Tableau16[[#This Row],[Dernier chgt Filte huile gasoil]])</f>
        <v>458</v>
      </c>
      <c r="T26" s="144">
        <f>Tableau16[[#This Row],[NBH filtre à air]]-(Tableau16[[#This Row],[Compteur Actuel]]-Tableau16[[#This Row],[Dernier chgt filtre à air]])</f>
        <v>958</v>
      </c>
    </row>
    <row r="27" spans="1:20" ht="31.5" customHeight="1" thickBot="1">
      <c r="A27" s="138">
        <v>431</v>
      </c>
      <c r="B27" s="139" t="s">
        <v>2018</v>
      </c>
      <c r="C27" s="139" t="s">
        <v>2035</v>
      </c>
      <c r="D27" s="138" t="s">
        <v>2004</v>
      </c>
      <c r="E27" s="139" t="s">
        <v>2036</v>
      </c>
      <c r="F27" s="139" t="s">
        <v>2024</v>
      </c>
      <c r="G27" s="139" t="s">
        <v>2034</v>
      </c>
      <c r="H27" s="141">
        <v>250</v>
      </c>
      <c r="I27" s="141">
        <v>500</v>
      </c>
      <c r="J27" s="141">
        <v>1000</v>
      </c>
      <c r="K27" s="142">
        <v>45209</v>
      </c>
      <c r="L27" s="143">
        <v>3165</v>
      </c>
      <c r="M27" s="143">
        <v>3165</v>
      </c>
      <c r="N27" s="143">
        <v>3165</v>
      </c>
      <c r="O27" s="140" t="s">
        <v>2321</v>
      </c>
      <c r="P27" s="138">
        <v>3198</v>
      </c>
      <c r="Q27" s="140"/>
      <c r="R27" s="144">
        <f>Tableau16[[#This Row],[NBH vidange]]-(Tableau16[[#This Row],[Compteur Actuel]]-Tableau16[[#This Row],[Dérnière vidange]])</f>
        <v>217</v>
      </c>
      <c r="S27" s="144">
        <f>Tableau16[[#This Row],[NBH Filtre   huile - gasoil]]-(Tableau16[[#This Row],[Compteur Actuel]]-Tableau16[[#This Row],[Dernier chgt Filte huile gasoil]])</f>
        <v>467</v>
      </c>
      <c r="T27" s="144">
        <f>Tableau16[[#This Row],[NBH filtre à air]]-(Tableau16[[#This Row],[Compteur Actuel]]-Tableau16[[#This Row],[Dernier chgt filtre à air]])</f>
        <v>967</v>
      </c>
    </row>
    <row r="28" spans="1:20" ht="31.5" customHeight="1" thickBot="1">
      <c r="A28" s="138">
        <v>432</v>
      </c>
      <c r="B28" s="139" t="s">
        <v>1971</v>
      </c>
      <c r="C28" s="139" t="s">
        <v>1972</v>
      </c>
      <c r="D28" s="138" t="s">
        <v>2037</v>
      </c>
      <c r="E28" s="139" t="s">
        <v>2038</v>
      </c>
      <c r="F28" s="139" t="s">
        <v>2039</v>
      </c>
      <c r="G28" s="147" t="s">
        <v>2040</v>
      </c>
      <c r="H28" s="141">
        <v>10000</v>
      </c>
      <c r="I28" s="141">
        <v>20000</v>
      </c>
      <c r="J28" s="138">
        <v>60000</v>
      </c>
      <c r="K28" s="142">
        <v>45213</v>
      </c>
      <c r="L28" s="143">
        <v>416500</v>
      </c>
      <c r="M28" s="143">
        <v>416500</v>
      </c>
      <c r="N28" s="143">
        <v>416500</v>
      </c>
      <c r="O28" s="140"/>
      <c r="P28" s="138">
        <v>421000</v>
      </c>
      <c r="Q28" s="140"/>
      <c r="R28" s="144">
        <f>Tableau16[[#This Row],[NBH vidange]]-(Tableau16[[#This Row],[Compteur Actuel]]-Tableau16[[#This Row],[Dérnière vidange]])</f>
        <v>5500</v>
      </c>
      <c r="S28" s="144">
        <f>Tableau16[[#This Row],[NBH Filtre   huile - gasoil]]-(Tableau16[[#This Row],[Compteur Actuel]]-Tableau16[[#This Row],[Dernier chgt Filte huile gasoil]])</f>
        <v>15500</v>
      </c>
      <c r="T28" s="144">
        <f>Tableau16[[#This Row],[NBH filtre à air]]-(Tableau16[[#This Row],[Compteur Actuel]]-Tableau16[[#This Row],[Dernier chgt filtre à air]])</f>
        <v>55500</v>
      </c>
    </row>
    <row r="29" spans="1:20" ht="31.5" customHeight="1" thickBot="1">
      <c r="A29" s="138">
        <v>433</v>
      </c>
      <c r="B29" s="139" t="s">
        <v>1971</v>
      </c>
      <c r="C29" s="139" t="s">
        <v>1972</v>
      </c>
      <c r="D29" s="138" t="s">
        <v>298</v>
      </c>
      <c r="E29" s="139" t="s">
        <v>2038</v>
      </c>
      <c r="F29" s="139" t="s">
        <v>2039</v>
      </c>
      <c r="G29" s="139" t="s">
        <v>2040</v>
      </c>
      <c r="H29" s="141">
        <v>10000</v>
      </c>
      <c r="I29" s="141">
        <v>20000</v>
      </c>
      <c r="J29" s="138">
        <v>20000</v>
      </c>
      <c r="K29" s="142">
        <v>45184</v>
      </c>
      <c r="L29" s="143">
        <v>283200</v>
      </c>
      <c r="M29" s="143">
        <v>283200</v>
      </c>
      <c r="N29" s="143">
        <v>283200</v>
      </c>
      <c r="O29" s="140"/>
      <c r="P29" s="138">
        <v>290000</v>
      </c>
      <c r="Q29" s="140"/>
      <c r="R29" s="144">
        <f>Tableau16[[#This Row],[NBH vidange]]-(Tableau16[[#This Row],[Compteur Actuel]]-Tableau16[[#This Row],[Dérnière vidange]])</f>
        <v>3200</v>
      </c>
      <c r="S29" s="144">
        <f>Tableau16[[#This Row],[NBH Filtre   huile - gasoil]]-(Tableau16[[#This Row],[Compteur Actuel]]-Tableau16[[#This Row],[Dernier chgt Filte huile gasoil]])</f>
        <v>13200</v>
      </c>
      <c r="T29" s="144">
        <f>Tableau16[[#This Row],[NBH filtre à air]]-(Tableau16[[#This Row],[Compteur Actuel]]-Tableau16[[#This Row],[Dernier chgt filtre à air]])</f>
        <v>13200</v>
      </c>
    </row>
    <row r="30" spans="1:20" ht="31.5" customHeight="1" thickBot="1">
      <c r="A30" s="138">
        <v>434</v>
      </c>
      <c r="B30" s="139" t="s">
        <v>2018</v>
      </c>
      <c r="C30" s="139" t="s">
        <v>2041</v>
      </c>
      <c r="D30" s="138" t="s">
        <v>2004</v>
      </c>
      <c r="E30" s="139" t="s">
        <v>2020</v>
      </c>
      <c r="F30" s="139" t="s">
        <v>2042</v>
      </c>
      <c r="G30" s="139" t="s">
        <v>2043</v>
      </c>
      <c r="H30" s="141">
        <v>500</v>
      </c>
      <c r="I30" s="141">
        <v>500</v>
      </c>
      <c r="J30" s="141">
        <v>1000</v>
      </c>
      <c r="K30" s="142">
        <v>45054</v>
      </c>
      <c r="L30" s="143">
        <v>5863</v>
      </c>
      <c r="M30" s="143">
        <v>5863</v>
      </c>
      <c r="N30" s="143">
        <v>4800</v>
      </c>
      <c r="O30" s="140"/>
      <c r="P30" s="138">
        <v>5786</v>
      </c>
      <c r="Q30" s="140"/>
      <c r="R30" s="144">
        <f>Tableau16[[#This Row],[NBH vidange]]-(Tableau16[[#This Row],[Compteur Actuel]]-Tableau16[[#This Row],[Dérnière vidange]])</f>
        <v>577</v>
      </c>
      <c r="S30" s="144">
        <f>Tableau16[[#This Row],[NBH Filtre   huile - gasoil]]-(Tableau16[[#This Row],[Compteur Actuel]]-Tableau16[[#This Row],[Dernier chgt Filte huile gasoil]])</f>
        <v>577</v>
      </c>
      <c r="T30" s="144">
        <f>Tableau16[[#This Row],[NBH filtre à air]]-(Tableau16[[#This Row],[Compteur Actuel]]-Tableau16[[#This Row],[Dernier chgt filtre à air]])</f>
        <v>14</v>
      </c>
    </row>
    <row r="31" spans="1:20" ht="31.5" customHeight="1" thickBot="1">
      <c r="A31" s="138">
        <v>435</v>
      </c>
      <c r="B31" s="139" t="s">
        <v>294</v>
      </c>
      <c r="C31" s="139" t="s">
        <v>1991</v>
      </c>
      <c r="D31" s="138" t="s">
        <v>2044</v>
      </c>
      <c r="E31" s="139" t="s">
        <v>1992</v>
      </c>
      <c r="F31" s="139" t="s">
        <v>1993</v>
      </c>
      <c r="G31" s="139" t="s">
        <v>2045</v>
      </c>
      <c r="H31" s="141">
        <v>20000</v>
      </c>
      <c r="I31" s="141">
        <v>20000</v>
      </c>
      <c r="J31" s="141">
        <v>80000</v>
      </c>
      <c r="K31" s="142">
        <v>45066</v>
      </c>
      <c r="L31" s="143">
        <v>724000</v>
      </c>
      <c r="M31" s="143">
        <v>724000</v>
      </c>
      <c r="N31" s="143">
        <v>691000</v>
      </c>
      <c r="O31" s="140"/>
      <c r="P31" s="138">
        <v>743300</v>
      </c>
      <c r="Q31" s="140"/>
      <c r="R31" s="144">
        <f>Tableau16[[#This Row],[NBH vidange]]-(Tableau16[[#This Row],[Compteur Actuel]]-Tableau16[[#This Row],[Dérnière vidange]])</f>
        <v>700</v>
      </c>
      <c r="S31" s="144">
        <f>Tableau16[[#This Row],[NBH Filtre   huile - gasoil]]-(Tableau16[[#This Row],[Compteur Actuel]]-Tableau16[[#This Row],[Dernier chgt Filte huile gasoil]])</f>
        <v>700</v>
      </c>
      <c r="T31" s="144">
        <f>Tableau16[[#This Row],[NBH filtre à air]]-(Tableau16[[#This Row],[Compteur Actuel]]-Tableau16[[#This Row],[Dernier chgt filtre à air]])</f>
        <v>27700</v>
      </c>
    </row>
    <row r="32" spans="1:20" ht="32.25" customHeight="1" thickBot="1">
      <c r="A32" s="138">
        <v>436</v>
      </c>
      <c r="B32" s="139" t="s">
        <v>294</v>
      </c>
      <c r="C32" s="139" t="s">
        <v>1991</v>
      </c>
      <c r="D32" s="138" t="s">
        <v>415</v>
      </c>
      <c r="E32" s="139" t="s">
        <v>1992</v>
      </c>
      <c r="F32" s="139" t="s">
        <v>1993</v>
      </c>
      <c r="G32" s="139" t="s">
        <v>2045</v>
      </c>
      <c r="H32" s="141">
        <v>20000</v>
      </c>
      <c r="I32" s="141">
        <v>20000</v>
      </c>
      <c r="J32" s="141">
        <v>80000</v>
      </c>
      <c r="K32" s="142">
        <v>45250</v>
      </c>
      <c r="L32" s="143">
        <v>874000</v>
      </c>
      <c r="M32" s="143">
        <v>874000</v>
      </c>
      <c r="N32" s="143">
        <v>874000</v>
      </c>
      <c r="O32" s="140"/>
      <c r="P32" s="138">
        <v>874500</v>
      </c>
      <c r="Q32" s="140"/>
      <c r="R32" s="144">
        <f>Tableau16[[#This Row],[NBH vidange]]-(Tableau16[[#This Row],[Compteur Actuel]]-Tableau16[[#This Row],[Dérnière vidange]])</f>
        <v>19500</v>
      </c>
      <c r="S32" s="144">
        <f>Tableau16[[#This Row],[NBH Filtre   huile - gasoil]]-(Tableau16[[#This Row],[Compteur Actuel]]-Tableau16[[#This Row],[Dernier chgt Filte huile gasoil]])</f>
        <v>19500</v>
      </c>
      <c r="T32" s="144">
        <f>Tableau16[[#This Row],[NBH filtre à air]]-(Tableau16[[#This Row],[Compteur Actuel]]-Tableau16[[#This Row],[Dernier chgt filtre à air]])</f>
        <v>79500</v>
      </c>
    </row>
    <row r="33" spans="1:20" ht="31.5" customHeight="1" thickBot="1">
      <c r="A33" s="138">
        <v>438</v>
      </c>
      <c r="B33" s="139" t="s">
        <v>1980</v>
      </c>
      <c r="C33" s="139" t="s">
        <v>444</v>
      </c>
      <c r="D33" s="138" t="s">
        <v>2046</v>
      </c>
      <c r="E33" s="139"/>
      <c r="F33" s="139"/>
      <c r="G33" s="139"/>
      <c r="H33" s="141">
        <v>20000</v>
      </c>
      <c r="I33" s="141">
        <v>40000</v>
      </c>
      <c r="J33" s="141">
        <v>80000</v>
      </c>
      <c r="K33" s="142">
        <v>45188</v>
      </c>
      <c r="L33" s="143">
        <v>500100</v>
      </c>
      <c r="M33" s="143">
        <v>500100</v>
      </c>
      <c r="N33" s="143">
        <v>451000</v>
      </c>
      <c r="O33" s="140"/>
      <c r="P33" s="138">
        <v>512600</v>
      </c>
      <c r="Q33" s="140"/>
      <c r="R33" s="144">
        <f>Tableau16[[#This Row],[NBH vidange]]-(Tableau16[[#This Row],[Compteur Actuel]]-Tableau16[[#This Row],[Dérnière vidange]])</f>
        <v>7500</v>
      </c>
      <c r="S33" s="144">
        <f>Tableau16[[#This Row],[NBH Filtre   huile - gasoil]]-(Tableau16[[#This Row],[Compteur Actuel]]-Tableau16[[#This Row],[Dernier chgt Filte huile gasoil]])</f>
        <v>27500</v>
      </c>
      <c r="T33" s="144">
        <f>Tableau16[[#This Row],[NBH filtre à air]]-(Tableau16[[#This Row],[Compteur Actuel]]-Tableau16[[#This Row],[Dernier chgt filtre à air]])</f>
        <v>18400</v>
      </c>
    </row>
    <row r="34" spans="1:20" ht="31.5" customHeight="1" thickBot="1">
      <c r="A34" s="138">
        <v>439</v>
      </c>
      <c r="B34" s="139" t="s">
        <v>1980</v>
      </c>
      <c r="C34" s="139" t="s">
        <v>444</v>
      </c>
      <c r="D34" s="138" t="s">
        <v>2047</v>
      </c>
      <c r="E34" s="139"/>
      <c r="F34" s="139"/>
      <c r="G34" s="139"/>
      <c r="H34" s="141">
        <v>20000</v>
      </c>
      <c r="I34" s="141">
        <v>40000</v>
      </c>
      <c r="J34" s="141">
        <v>80000</v>
      </c>
      <c r="K34" s="142">
        <v>45200</v>
      </c>
      <c r="L34" s="143">
        <v>475600</v>
      </c>
      <c r="M34" s="143">
        <v>475600</v>
      </c>
      <c r="N34" s="143">
        <v>420100</v>
      </c>
      <c r="O34" s="140"/>
      <c r="P34" s="138">
        <v>486200</v>
      </c>
      <c r="Q34" s="140"/>
      <c r="R34" s="144">
        <f>Tableau16[[#This Row],[NBH vidange]]-(Tableau16[[#This Row],[Compteur Actuel]]-Tableau16[[#This Row],[Dérnière vidange]])</f>
        <v>9400</v>
      </c>
      <c r="S34" s="144">
        <f>Tableau16[[#This Row],[NBH Filtre   huile - gasoil]]-(Tableau16[[#This Row],[Compteur Actuel]]-Tableau16[[#This Row],[Dernier chgt Filte huile gasoil]])</f>
        <v>29400</v>
      </c>
      <c r="T34" s="144">
        <f>Tableau16[[#This Row],[NBH filtre à air]]-(Tableau16[[#This Row],[Compteur Actuel]]-Tableau16[[#This Row],[Dernier chgt filtre à air]])</f>
        <v>13900</v>
      </c>
    </row>
    <row r="35" spans="1:20" ht="31.5" customHeight="1" thickBot="1">
      <c r="A35" s="138">
        <v>471</v>
      </c>
      <c r="B35" s="139" t="s">
        <v>2048</v>
      </c>
      <c r="C35" s="139" t="s">
        <v>2049</v>
      </c>
      <c r="D35" s="138" t="s">
        <v>2050</v>
      </c>
      <c r="E35" s="140"/>
      <c r="F35" s="139"/>
      <c r="G35" s="140"/>
      <c r="H35" s="141">
        <v>20000</v>
      </c>
      <c r="I35" s="141">
        <v>20000</v>
      </c>
      <c r="J35" s="138">
        <v>80000</v>
      </c>
      <c r="K35" s="142">
        <v>45214</v>
      </c>
      <c r="L35" s="143">
        <v>236900</v>
      </c>
      <c r="M35" s="143">
        <v>236900</v>
      </c>
      <c r="N35" s="143">
        <v>236900</v>
      </c>
      <c r="O35" s="140"/>
      <c r="P35" s="138">
        <v>240400</v>
      </c>
      <c r="Q35" s="140"/>
      <c r="R35" s="144">
        <f>Tableau16[[#This Row],[NBH vidange]]-(Tableau16[[#This Row],[Compteur Actuel]]-Tableau16[[#This Row],[Dérnière vidange]])</f>
        <v>16500</v>
      </c>
      <c r="S35" s="144">
        <f>Tableau16[[#This Row],[NBH Filtre   huile - gasoil]]-(Tableau16[[#This Row],[Compteur Actuel]]-Tableau16[[#This Row],[Dernier chgt Filte huile gasoil]])</f>
        <v>16500</v>
      </c>
      <c r="T35" s="144">
        <f>Tableau16[[#This Row],[NBH filtre à air]]-(Tableau16[[#This Row],[Compteur Actuel]]-Tableau16[[#This Row],[Dernier chgt filtre à air]])</f>
        <v>76500</v>
      </c>
    </row>
    <row r="36" spans="1:20" ht="31.5" customHeight="1" thickBot="1">
      <c r="A36" s="138">
        <v>472</v>
      </c>
      <c r="B36" s="139" t="s">
        <v>2018</v>
      </c>
      <c r="C36" s="139" t="s">
        <v>2041</v>
      </c>
      <c r="D36" s="138" t="s">
        <v>2004</v>
      </c>
      <c r="E36" s="139"/>
      <c r="F36" s="139"/>
      <c r="G36" s="139"/>
      <c r="H36" s="141">
        <v>500</v>
      </c>
      <c r="I36" s="141">
        <v>500</v>
      </c>
      <c r="J36" s="141">
        <v>1000</v>
      </c>
      <c r="K36" s="142">
        <v>45184</v>
      </c>
      <c r="L36" s="143">
        <v>6325</v>
      </c>
      <c r="M36" s="143">
        <v>6325</v>
      </c>
      <c r="N36" s="143">
        <v>6325</v>
      </c>
      <c r="O36" s="140"/>
      <c r="P36" s="138">
        <v>6560</v>
      </c>
      <c r="Q36" s="140"/>
      <c r="R36" s="144">
        <f>Tableau16[[#This Row],[NBH vidange]]-(Tableau16[[#This Row],[Compteur Actuel]]-Tableau16[[#This Row],[Dérnière vidange]])</f>
        <v>265</v>
      </c>
      <c r="S36" s="144">
        <f>Tableau16[[#This Row],[NBH Filtre   huile - gasoil]]-(Tableau16[[#This Row],[Compteur Actuel]]-Tableau16[[#This Row],[Dernier chgt Filte huile gasoil]])</f>
        <v>265</v>
      </c>
      <c r="T36" s="144">
        <f>Tableau16[[#This Row],[NBH filtre à air]]-(Tableau16[[#This Row],[Compteur Actuel]]-Tableau16[[#This Row],[Dernier chgt filtre à air]])</f>
        <v>765</v>
      </c>
    </row>
    <row r="37" spans="1:20" ht="31.5" customHeight="1" thickBot="1">
      <c r="A37" s="138">
        <v>477</v>
      </c>
      <c r="B37" s="139" t="s">
        <v>2018</v>
      </c>
      <c r="C37" s="139" t="s">
        <v>2041</v>
      </c>
      <c r="D37" s="138" t="s">
        <v>2004</v>
      </c>
      <c r="E37" s="140"/>
      <c r="F37" s="139"/>
      <c r="G37" s="140"/>
      <c r="H37" s="141">
        <v>500</v>
      </c>
      <c r="I37" s="141">
        <v>500</v>
      </c>
      <c r="J37" s="141">
        <v>1000</v>
      </c>
      <c r="K37" s="142">
        <v>45200</v>
      </c>
      <c r="L37" s="143">
        <v>6930</v>
      </c>
      <c r="M37" s="143">
        <v>6930</v>
      </c>
      <c r="N37" s="143">
        <v>6930</v>
      </c>
      <c r="O37" s="140"/>
      <c r="P37" s="138">
        <v>7070</v>
      </c>
      <c r="Q37" s="140"/>
      <c r="R37" s="144">
        <f>Tableau16[[#This Row],[NBH vidange]]-(Tableau16[[#This Row],[Compteur Actuel]]-Tableau16[[#This Row],[Dérnière vidange]])</f>
        <v>360</v>
      </c>
      <c r="S37" s="144">
        <f>Tableau16[[#This Row],[NBH Filtre   huile - gasoil]]-(Tableau16[[#This Row],[Compteur Actuel]]-Tableau16[[#This Row],[Dernier chgt Filte huile gasoil]])</f>
        <v>360</v>
      </c>
      <c r="T37" s="144">
        <f>Tableau16[[#This Row],[NBH filtre à air]]-(Tableau16[[#This Row],[Compteur Actuel]]-Tableau16[[#This Row],[Dernier chgt filtre à air]])</f>
        <v>860</v>
      </c>
    </row>
    <row r="38" spans="1:20" ht="31.5" customHeight="1" thickBot="1">
      <c r="A38" s="138">
        <v>479</v>
      </c>
      <c r="B38" s="139" t="s">
        <v>2048</v>
      </c>
      <c r="C38" s="139" t="s">
        <v>2049</v>
      </c>
      <c r="D38" s="138" t="s">
        <v>425</v>
      </c>
      <c r="E38" s="140"/>
      <c r="F38" s="139"/>
      <c r="G38" s="140"/>
      <c r="H38" s="141">
        <v>20000</v>
      </c>
      <c r="I38" s="141">
        <v>20000</v>
      </c>
      <c r="J38" s="138">
        <v>80000</v>
      </c>
      <c r="K38" s="142" t="s">
        <v>2322</v>
      </c>
      <c r="L38" s="143">
        <v>187000</v>
      </c>
      <c r="M38" s="143">
        <v>187000</v>
      </c>
      <c r="N38" s="143">
        <v>187000</v>
      </c>
      <c r="O38" s="140"/>
      <c r="P38" s="138">
        <v>191800</v>
      </c>
      <c r="Q38" s="140"/>
      <c r="R38" s="144">
        <f>Tableau16[[#This Row],[NBH vidange]]-(Tableau16[[#This Row],[Compteur Actuel]]-Tableau16[[#This Row],[Dérnière vidange]])</f>
        <v>15200</v>
      </c>
      <c r="S38" s="144">
        <f>Tableau16[[#This Row],[NBH Filtre   huile - gasoil]]-(Tableau16[[#This Row],[Compteur Actuel]]-Tableau16[[#This Row],[Dernier chgt Filte huile gasoil]])</f>
        <v>15200</v>
      </c>
      <c r="T38" s="144">
        <f>Tableau16[[#This Row],[NBH filtre à air]]-(Tableau16[[#This Row],[Compteur Actuel]]-Tableau16[[#This Row],[Dernier chgt filtre à air]])</f>
        <v>75200</v>
      </c>
    </row>
    <row r="39" spans="1:20" ht="31.5" customHeight="1" thickBot="1">
      <c r="A39" s="138">
        <v>480</v>
      </c>
      <c r="B39" s="139" t="s">
        <v>294</v>
      </c>
      <c r="C39" s="139" t="s">
        <v>444</v>
      </c>
      <c r="D39" s="138" t="s">
        <v>447</v>
      </c>
      <c r="E39" s="140"/>
      <c r="F39" s="139"/>
      <c r="G39" s="140"/>
      <c r="H39" s="141">
        <v>20000</v>
      </c>
      <c r="I39" s="141">
        <v>20000</v>
      </c>
      <c r="J39" s="141">
        <v>80000</v>
      </c>
      <c r="K39" s="142">
        <v>45201</v>
      </c>
      <c r="L39" s="143">
        <v>432500</v>
      </c>
      <c r="M39" s="143">
        <v>432500</v>
      </c>
      <c r="N39" s="143">
        <v>432500</v>
      </c>
      <c r="O39" s="140"/>
      <c r="P39" s="138">
        <v>437800</v>
      </c>
      <c r="Q39" s="140"/>
      <c r="R39" s="144">
        <f>Tableau16[[#This Row],[NBH vidange]]-(Tableau16[[#This Row],[Compteur Actuel]]-Tableau16[[#This Row],[Dérnière vidange]])</f>
        <v>14700</v>
      </c>
      <c r="S39" s="144">
        <f>Tableau16[[#This Row],[NBH Filtre   huile - gasoil]]-(Tableau16[[#This Row],[Compteur Actuel]]-Tableau16[[#This Row],[Dernier chgt Filte huile gasoil]])</f>
        <v>14700</v>
      </c>
      <c r="T39" s="144">
        <f>Tableau16[[#This Row],[NBH filtre à air]]-(Tableau16[[#This Row],[Compteur Actuel]]-Tableau16[[#This Row],[Dernier chgt filtre à air]])</f>
        <v>74700</v>
      </c>
    </row>
    <row r="40" spans="1:20" ht="31.5" customHeight="1" thickBot="1">
      <c r="A40" s="138">
        <v>481</v>
      </c>
      <c r="B40" s="139" t="s">
        <v>294</v>
      </c>
      <c r="C40" s="139" t="s">
        <v>444</v>
      </c>
      <c r="D40" s="138" t="s">
        <v>448</v>
      </c>
      <c r="E40" s="140"/>
      <c r="F40" s="139"/>
      <c r="G40" s="140"/>
      <c r="H40" s="141">
        <v>20000</v>
      </c>
      <c r="I40" s="141">
        <v>20000</v>
      </c>
      <c r="J40" s="141">
        <v>80000</v>
      </c>
      <c r="K40" s="142">
        <v>45198</v>
      </c>
      <c r="L40" s="143">
        <v>482200</v>
      </c>
      <c r="M40" s="143">
        <v>482200</v>
      </c>
      <c r="N40" s="143">
        <v>482200</v>
      </c>
      <c r="O40" s="140"/>
      <c r="P40" s="138">
        <v>500400</v>
      </c>
      <c r="Q40" s="140"/>
      <c r="R40" s="144">
        <f>Tableau16[[#This Row],[NBH vidange]]-(Tableau16[[#This Row],[Compteur Actuel]]-Tableau16[[#This Row],[Dérnière vidange]])</f>
        <v>1800</v>
      </c>
      <c r="S40" s="144">
        <f>Tableau16[[#This Row],[NBH Filtre   huile - gasoil]]-(Tableau16[[#This Row],[Compteur Actuel]]-Tableau16[[#This Row],[Dernier chgt Filte huile gasoil]])</f>
        <v>1800</v>
      </c>
      <c r="T40" s="144">
        <f>Tableau16[[#This Row],[NBH filtre à air]]-(Tableau16[[#This Row],[Compteur Actuel]]-Tableau16[[#This Row],[Dernier chgt filtre à air]])</f>
        <v>61800</v>
      </c>
    </row>
    <row r="41" spans="1:20" ht="31.5" customHeight="1" thickBot="1">
      <c r="A41" s="138">
        <v>482</v>
      </c>
      <c r="B41" s="139" t="s">
        <v>2051</v>
      </c>
      <c r="C41" s="139" t="s">
        <v>2052</v>
      </c>
      <c r="D41" s="138" t="s">
        <v>442</v>
      </c>
      <c r="E41" s="140"/>
      <c r="F41" s="139"/>
      <c r="G41" s="140"/>
      <c r="H41" s="141">
        <v>10000</v>
      </c>
      <c r="I41" s="141">
        <v>20000</v>
      </c>
      <c r="J41" s="138">
        <v>80000</v>
      </c>
      <c r="K41" s="142">
        <v>45194</v>
      </c>
      <c r="L41" s="143">
        <v>132100</v>
      </c>
      <c r="M41" s="143">
        <v>132100</v>
      </c>
      <c r="N41" s="143">
        <v>132100</v>
      </c>
      <c r="O41" s="140"/>
      <c r="P41" s="138">
        <v>136600</v>
      </c>
      <c r="Q41" s="140"/>
      <c r="R41" s="144">
        <f>Tableau16[[#This Row],[NBH vidange]]-(Tableau16[[#This Row],[Compteur Actuel]]-Tableau16[[#This Row],[Dérnière vidange]])</f>
        <v>5500</v>
      </c>
      <c r="S41" s="144">
        <f>Tableau16[[#This Row],[NBH Filtre   huile - gasoil]]-(Tableau16[[#This Row],[Compteur Actuel]]-Tableau16[[#This Row],[Dernier chgt Filte huile gasoil]])</f>
        <v>15500</v>
      </c>
      <c r="T41" s="144">
        <f>Tableau16[[#This Row],[NBH filtre à air]]-(Tableau16[[#This Row],[Compteur Actuel]]-Tableau16[[#This Row],[Dernier chgt filtre à air]])</f>
        <v>75500</v>
      </c>
    </row>
    <row r="42" spans="1:20" ht="14.25">
      <c r="A42" s="148"/>
      <c r="B42" s="148"/>
      <c r="C42" s="148"/>
      <c r="D42" s="148"/>
      <c r="E42" s="148"/>
      <c r="F42" s="148"/>
      <c r="G42" s="148"/>
      <c r="H42" s="138"/>
      <c r="I42" s="138"/>
      <c r="J42" s="138"/>
      <c r="K42" s="149"/>
      <c r="L42" s="148"/>
      <c r="M42" s="148"/>
      <c r="N42" s="148"/>
      <c r="O42" s="148"/>
      <c r="P42" s="148"/>
      <c r="Q42" s="148"/>
      <c r="R42" s="148"/>
      <c r="S42" s="148"/>
      <c r="T42" s="148"/>
    </row>
    <row r="43" spans="1:20" ht="14.25">
      <c r="A43" s="148"/>
      <c r="B43" s="148"/>
      <c r="C43" s="148"/>
      <c r="D43" s="148"/>
      <c r="E43" s="148"/>
      <c r="F43" s="148"/>
      <c r="G43" s="148"/>
      <c r="H43" s="138"/>
      <c r="I43" s="138"/>
      <c r="J43" s="138"/>
      <c r="K43" s="149"/>
      <c r="L43" s="148"/>
      <c r="M43" s="148"/>
      <c r="N43" s="148"/>
      <c r="O43" s="148"/>
      <c r="P43" s="148"/>
      <c r="Q43" s="148"/>
      <c r="R43" s="148"/>
      <c r="S43" s="148"/>
      <c r="T43" s="148"/>
    </row>
    <row r="44" spans="1:20" ht="14.25">
      <c r="A44" s="148"/>
      <c r="B44" s="148"/>
      <c r="C44" s="148"/>
      <c r="D44" s="148"/>
      <c r="E44" s="148"/>
      <c r="F44" s="148"/>
      <c r="G44" s="148"/>
      <c r="H44" s="138"/>
      <c r="I44" s="138"/>
      <c r="J44" s="138"/>
      <c r="K44" s="149"/>
      <c r="L44" s="148"/>
      <c r="M44" s="148"/>
      <c r="N44" s="148"/>
      <c r="O44" s="148"/>
      <c r="P44" s="148"/>
      <c r="Q44" s="148"/>
      <c r="R44" s="148"/>
      <c r="S44" s="148"/>
      <c r="T44" s="148"/>
    </row>
    <row r="45" spans="1:20" ht="14.25">
      <c r="A45" s="148"/>
      <c r="B45" s="148"/>
      <c r="C45" s="148"/>
      <c r="D45" s="148"/>
      <c r="E45" s="148"/>
      <c r="F45" s="148"/>
      <c r="G45" s="148"/>
      <c r="H45" s="138"/>
      <c r="I45" s="138"/>
      <c r="J45" s="138"/>
      <c r="K45" s="149"/>
      <c r="L45" s="148"/>
      <c r="M45" s="148"/>
      <c r="N45" s="148"/>
      <c r="O45" s="148"/>
      <c r="P45" s="148"/>
      <c r="Q45" s="148"/>
      <c r="R45" s="148"/>
      <c r="S45" s="148"/>
      <c r="T45" s="148"/>
    </row>
    <row r="46" spans="1:20" ht="14.25">
      <c r="A46" s="148"/>
      <c r="B46" s="148"/>
      <c r="C46" s="148"/>
      <c r="D46" s="148"/>
      <c r="E46" s="148"/>
      <c r="F46" s="148"/>
      <c r="G46" s="148"/>
      <c r="H46" s="138"/>
      <c r="I46" s="138"/>
      <c r="J46" s="138"/>
      <c r="K46" s="149"/>
      <c r="L46" s="148"/>
      <c r="M46" s="148"/>
      <c r="N46" s="148"/>
      <c r="O46" s="148"/>
      <c r="P46" s="148"/>
      <c r="Q46" s="148"/>
      <c r="R46" s="148"/>
      <c r="S46" s="148"/>
      <c r="T46" s="148"/>
    </row>
  </sheetData>
  <mergeCells count="10">
    <mergeCell ref="A1:B4"/>
    <mergeCell ref="C1:O2"/>
    <mergeCell ref="P1:T1"/>
    <mergeCell ref="P2:T2"/>
    <mergeCell ref="U2:W2"/>
    <mergeCell ref="C3:O4"/>
    <mergeCell ref="P3:T3"/>
    <mergeCell ref="U3:W3"/>
    <mergeCell ref="P4:T4"/>
    <mergeCell ref="U4:W4"/>
  </mergeCells>
  <conditionalFormatting sqref="R6:T16 R17:R30 R31:T41">
    <cfRule type="cellIs" dxfId="26" priority="4" operator="greaterThanOrEqual">
      <formula>1000</formula>
    </cfRule>
    <cfRule type="cellIs" dxfId="25" priority="5" operator="between">
      <formula>1000</formula>
      <formula>1</formula>
    </cfRule>
  </conditionalFormatting>
  <conditionalFormatting sqref="R6:T41">
    <cfRule type="cellIs" dxfId="24" priority="1" operator="lessThanOrEqual">
      <formula>0</formula>
    </cfRule>
  </conditionalFormatting>
  <conditionalFormatting sqref="R17:T18 S19:T20 R21:T27 S28:T29 R30:T30 R36:T37">
    <cfRule type="cellIs" dxfId="23" priority="2" operator="between">
      <formula>100</formula>
      <formula>1</formula>
    </cfRule>
    <cfRule type="cellIs" dxfId="22" priority="3" operator="greaterThanOrEqual">
      <formula>100</formula>
    </cfRule>
  </conditionalFormatting>
  <pageMargins left="0.7" right="0.7" top="0.75" bottom="0.75" header="0.3" footer="0.3"/>
  <pageSetup paperSize="9" orientation="portrait" r:id="rId1"/>
  <drawing r:id="rId2"/>
  <tableParts count="1">
    <tablePart r:id="rId3"/>
  </tableParts>
</worksheet>
</file>

<file path=xl/worksheets/sheet12.xml><?xml version="1.0" encoding="utf-8"?>
<worksheet xmlns="http://schemas.openxmlformats.org/spreadsheetml/2006/main" xmlns:r="http://schemas.openxmlformats.org/officeDocument/2006/relationships">
  <sheetPr codeName="Feuil8"/>
  <dimension ref="A1:A17"/>
  <sheetViews>
    <sheetView workbookViewId="0">
      <selection activeCell="A17" sqref="A17"/>
    </sheetView>
  </sheetViews>
  <sheetFormatPr baseColWidth="10" defaultColWidth="10.7109375" defaultRowHeight="15"/>
  <cols>
    <col min="1" max="1" width="15.85546875" customWidth="1"/>
  </cols>
  <sheetData>
    <row r="1" spans="1:1">
      <c r="A1" s="20" t="s">
        <v>252</v>
      </c>
    </row>
    <row r="2" spans="1:1">
      <c r="A2" s="20" t="s">
        <v>101</v>
      </c>
    </row>
    <row r="3" spans="1:1">
      <c r="A3" s="20" t="s">
        <v>23</v>
      </c>
    </row>
    <row r="4" spans="1:1">
      <c r="A4" s="20" t="s">
        <v>16</v>
      </c>
    </row>
    <row r="5" spans="1:1">
      <c r="A5" s="20" t="s">
        <v>59</v>
      </c>
    </row>
    <row r="6" spans="1:1">
      <c r="A6" s="20" t="s">
        <v>119</v>
      </c>
    </row>
    <row r="7" spans="1:1">
      <c r="A7" s="20" t="s">
        <v>137</v>
      </c>
    </row>
    <row r="8" spans="1:1">
      <c r="A8" s="20" t="s">
        <v>187</v>
      </c>
    </row>
    <row r="9" spans="1:1">
      <c r="A9" s="20" t="s">
        <v>145</v>
      </c>
    </row>
    <row r="10" spans="1:1">
      <c r="A10" s="20" t="s">
        <v>125</v>
      </c>
    </row>
    <row r="11" spans="1:1">
      <c r="A11" s="20" t="s">
        <v>173</v>
      </c>
    </row>
    <row r="12" spans="1:1">
      <c r="A12" s="20" t="s">
        <v>8</v>
      </c>
    </row>
    <row r="13" spans="1:1">
      <c r="A13" s="20" t="s">
        <v>283</v>
      </c>
    </row>
    <row r="14" spans="1:1">
      <c r="A14" s="20" t="s">
        <v>278</v>
      </c>
    </row>
    <row r="15" spans="1:1">
      <c r="A15" s="20" t="s">
        <v>12</v>
      </c>
    </row>
    <row r="16" spans="1:1">
      <c r="A16" s="20" t="s">
        <v>27</v>
      </c>
    </row>
    <row r="17" spans="1:1">
      <c r="A17" s="20"/>
    </row>
  </sheetData>
  <sortState ref="A1:A17">
    <sortCondition ref="A1:A17"/>
  </sortState>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
  <sheetViews>
    <sheetView workbookViewId="0"/>
  </sheetViews>
  <sheetFormatPr baseColWidth="10"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1</vt:i4>
      </vt:variant>
    </vt:vector>
  </HeadingPairs>
  <TitlesOfParts>
    <vt:vector size="14" baseType="lpstr">
      <vt:lpstr>Feuil2</vt:lpstr>
      <vt:lpstr>Menu</vt:lpstr>
      <vt:lpstr>Code Véhicule</vt:lpstr>
      <vt:lpstr>Feuil3</vt:lpstr>
      <vt:lpstr>BDD interv</vt:lpstr>
      <vt:lpstr>KPI PARC AUTO</vt:lpstr>
      <vt:lpstr>En cours</vt:lpstr>
      <vt:lpstr>Hist engins</vt:lpstr>
      <vt:lpstr>bdd pneu</vt:lpstr>
      <vt:lpstr>Suivi des pneus</vt:lpstr>
      <vt:lpstr>Suivi des vidanges</vt:lpstr>
      <vt:lpstr>TYP INTERV</vt:lpstr>
      <vt:lpstr>Feuil1</vt:lpstr>
      <vt:lpstr>'Suivi des pneus'!Zone_d_impression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stagiaire</dc:creator>
  <cp:lastModifiedBy>m.maslouhi</cp:lastModifiedBy>
  <cp:lastPrinted>2022-07-06T09:08:17Z</cp:lastPrinted>
  <dcterms:created xsi:type="dcterms:W3CDTF">2016-06-21T06:43:31Z</dcterms:created>
  <dcterms:modified xsi:type="dcterms:W3CDTF">2025-10-09T10:33:58Z</dcterms:modified>
</cp:coreProperties>
</file>